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aigars_davidovics_fm_gov_lv/Documents/Darbvirsma/"/>
    </mc:Choice>
  </mc:AlternateContent>
  <xr:revisionPtr revIDLastSave="14" documentId="13_ncr:1_{ED8551D4-A488-4F29-8E95-EF5F794DE4A1}" xr6:coauthVersionLast="47" xr6:coauthVersionMax="47" xr10:uidLastSave="{F42B3D5D-D86F-493F-AF90-C82046A0CFE3}"/>
  <bookViews>
    <workbookView xWindow="3960" yWindow="510" windowWidth="24375" windowHeight="15120" firstSheet="1" activeTab="1" xr2:uid="{91015241-36BE-48C6-AE3F-ABE32A542A7F}"/>
  </bookViews>
  <sheets>
    <sheet name="Sheet1" sheetId="1" state="hidden" r:id="rId1"/>
    <sheet name="deklar_izd_prognoz_08.05.2024" sheetId="9" r:id="rId2"/>
    <sheet name="CFLA papildināts" sheetId="4" state="hidden" r:id="rId3"/>
    <sheet name="PV dati" sheetId="2" state="hidden" r:id="rId4"/>
    <sheet name="VI komentārs par tabulu" sheetId="3" state="hidden" r:id="rId5"/>
  </sheets>
  <definedNames>
    <definedName name="_xlnm._FilterDatabase" localSheetId="2" hidden="1">'CFLA papildināts'!$A$4:$AK$34</definedName>
    <definedName name="_xlnm._FilterDatabase" localSheetId="1" hidden="1">'deklar_izd_prognoz_08.05.2024'!$A$4:$AK$34</definedName>
    <definedName name="_xlnm._FilterDatabase" localSheetId="3" hidden="1">'PV dati'!$A$4:$AK$35</definedName>
    <definedName name="_xlnm._FilterDatabase" localSheetId="0" hidden="1">Sheet1!$A$2:$J$26</definedName>
    <definedName name="_FiltraDatuBaze" localSheetId="3" hidden="1">'PV dati'!$A$4:$AK$34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9" l="1"/>
  <c r="AB6" i="9"/>
  <c r="AC6" i="9"/>
  <c r="V33" i="9"/>
  <c r="U33" i="9"/>
  <c r="T33" i="9"/>
  <c r="S33" i="9"/>
  <c r="R33" i="9"/>
  <c r="Q33" i="9"/>
  <c r="P33" i="9"/>
  <c r="O33" i="9"/>
  <c r="N33" i="9"/>
  <c r="M33" i="9"/>
  <c r="L33" i="9"/>
  <c r="K33" i="9"/>
  <c r="I33" i="9"/>
  <c r="H33" i="9"/>
  <c r="G33" i="9"/>
  <c r="F33" i="9"/>
  <c r="E33" i="9"/>
  <c r="C33" i="9"/>
  <c r="V32" i="9"/>
  <c r="U32" i="9"/>
  <c r="P32" i="9"/>
  <c r="O32" i="9"/>
  <c r="N32" i="9"/>
  <c r="M32" i="9"/>
  <c r="L32" i="9"/>
  <c r="K32" i="9"/>
  <c r="I32" i="9"/>
  <c r="H32" i="9"/>
  <c r="G32" i="9"/>
  <c r="F32" i="9"/>
  <c r="E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I31" i="9"/>
  <c r="H31" i="9"/>
  <c r="G31" i="9"/>
  <c r="F31" i="9"/>
  <c r="E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I30" i="9"/>
  <c r="H30" i="9"/>
  <c r="G30" i="9"/>
  <c r="F30" i="9"/>
  <c r="E30" i="9"/>
  <c r="C30" i="9"/>
  <c r="W29" i="9"/>
  <c r="V29" i="9"/>
  <c r="U29" i="9"/>
  <c r="T29" i="9"/>
  <c r="S29" i="9"/>
  <c r="P29" i="9"/>
  <c r="O29" i="9"/>
  <c r="N29" i="9"/>
  <c r="M29" i="9"/>
  <c r="L29" i="9"/>
  <c r="K29" i="9"/>
  <c r="I29" i="9"/>
  <c r="H29" i="9"/>
  <c r="G29" i="9"/>
  <c r="F29" i="9"/>
  <c r="E29" i="9"/>
  <c r="C29" i="9"/>
  <c r="V28" i="9"/>
  <c r="V34" i="9" s="1"/>
  <c r="U28" i="9"/>
  <c r="U34" i="9" s="1"/>
  <c r="T28" i="9"/>
  <c r="T34" i="9" s="1"/>
  <c r="S28" i="9"/>
  <c r="R28" i="9"/>
  <c r="Q28" i="9"/>
  <c r="P28" i="9"/>
  <c r="P34" i="9" s="1"/>
  <c r="O28" i="9"/>
  <c r="O34" i="9" s="1"/>
  <c r="N28" i="9"/>
  <c r="N34" i="9" s="1"/>
  <c r="M28" i="9"/>
  <c r="M34" i="9" s="1"/>
  <c r="L28" i="9"/>
  <c r="L34" i="9" s="1"/>
  <c r="K28" i="9"/>
  <c r="K34" i="9" s="1"/>
  <c r="I28" i="9"/>
  <c r="I34" i="9" s="1"/>
  <c r="H28" i="9"/>
  <c r="H34" i="9" s="1"/>
  <c r="G28" i="9"/>
  <c r="G34" i="9" s="1"/>
  <c r="F28" i="9"/>
  <c r="F34" i="9" s="1"/>
  <c r="E28" i="9"/>
  <c r="E34" i="9" s="1"/>
  <c r="C28" i="9"/>
  <c r="C34" i="9" s="1"/>
  <c r="AI27" i="9"/>
  <c r="AG27" i="9"/>
  <c r="AH27" i="9" s="1"/>
  <c r="AF27" i="9"/>
  <c r="AD27" i="9"/>
  <c r="AA27" i="9"/>
  <c r="Z27" i="9"/>
  <c r="Y27" i="9"/>
  <c r="X27" i="9"/>
  <c r="W27" i="9"/>
  <c r="J27" i="9"/>
  <c r="AB27" i="9" s="1"/>
  <c r="AC27" i="9" s="1"/>
  <c r="AI26" i="9"/>
  <c r="AI33" i="9" s="1"/>
  <c r="AF26" i="9"/>
  <c r="AF33" i="9" s="1"/>
  <c r="AD26" i="9"/>
  <c r="AD33" i="9" s="1"/>
  <c r="AA26" i="9"/>
  <c r="AA33" i="9" s="1"/>
  <c r="Z26" i="9"/>
  <c r="Z33" i="9" s="1"/>
  <c r="Y26" i="9"/>
  <c r="Y33" i="9" s="1"/>
  <c r="X26" i="9"/>
  <c r="X33" i="9" s="1"/>
  <c r="W26" i="9"/>
  <c r="W33" i="9" s="1"/>
  <c r="J26" i="9"/>
  <c r="AB26" i="9" s="1"/>
  <c r="AI25" i="9"/>
  <c r="AI32" i="9" s="1"/>
  <c r="AF25" i="9"/>
  <c r="AF32" i="9" s="1"/>
  <c r="AD25" i="9"/>
  <c r="AD32" i="9" s="1"/>
  <c r="Z25" i="9"/>
  <c r="Z32" i="9" s="1"/>
  <c r="X25" i="9"/>
  <c r="X32" i="9" s="1"/>
  <c r="W25" i="9"/>
  <c r="W32" i="9" s="1"/>
  <c r="T25" i="9"/>
  <c r="T32" i="9" s="1"/>
  <c r="S25" i="9"/>
  <c r="S32" i="9" s="1"/>
  <c r="R25" i="9"/>
  <c r="R32" i="9" s="1"/>
  <c r="Q25" i="9"/>
  <c r="Q32" i="9" s="1"/>
  <c r="J25" i="9"/>
  <c r="Y25" i="9" s="1"/>
  <c r="Y32" i="9" s="1"/>
  <c r="AI24" i="9"/>
  <c r="AG24" i="9"/>
  <c r="AH24" i="9" s="1"/>
  <c r="AF24" i="9"/>
  <c r="AD24" i="9"/>
  <c r="AC24" i="9"/>
  <c r="AB24" i="9"/>
  <c r="AA24" i="9"/>
  <c r="Z24" i="9"/>
  <c r="X24" i="9"/>
  <c r="W24" i="9"/>
  <c r="J24" i="9"/>
  <c r="Y24" i="9" s="1"/>
  <c r="AI23" i="9"/>
  <c r="AG23" i="9"/>
  <c r="AH23" i="9" s="1"/>
  <c r="AF23" i="9"/>
  <c r="AD23" i="9"/>
  <c r="AB23" i="9"/>
  <c r="AC23" i="9" s="1"/>
  <c r="AA23" i="9"/>
  <c r="Z23" i="9"/>
  <c r="Y23" i="9"/>
  <c r="X23" i="9"/>
  <c r="W23" i="9"/>
  <c r="J23" i="9"/>
  <c r="AI22" i="9"/>
  <c r="AF22" i="9"/>
  <c r="AD22" i="9"/>
  <c r="AA22" i="9"/>
  <c r="Z22" i="9"/>
  <c r="Y22" i="9"/>
  <c r="X22" i="9"/>
  <c r="W22" i="9"/>
  <c r="J22" i="9"/>
  <c r="AB22" i="9" s="1"/>
  <c r="AC22" i="9" s="1"/>
  <c r="AI21" i="9"/>
  <c r="AF21" i="9"/>
  <c r="AD21" i="9"/>
  <c r="AA21" i="9"/>
  <c r="Z21" i="9"/>
  <c r="X21" i="9"/>
  <c r="W21" i="9"/>
  <c r="J21" i="9"/>
  <c r="Y21" i="9" s="1"/>
  <c r="AI20" i="9"/>
  <c r="AH20" i="9"/>
  <c r="AG20" i="9"/>
  <c r="AF20" i="9"/>
  <c r="AD20" i="9"/>
  <c r="AB20" i="9"/>
  <c r="AC20" i="9" s="1"/>
  <c r="AA20" i="9"/>
  <c r="Z20" i="9"/>
  <c r="Y20" i="9"/>
  <c r="X20" i="9"/>
  <c r="W20" i="9"/>
  <c r="J20" i="9"/>
  <c r="AI19" i="9"/>
  <c r="AG19" i="9"/>
  <c r="AH19" i="9" s="1"/>
  <c r="AF19" i="9"/>
  <c r="AD19" i="9"/>
  <c r="AB19" i="9"/>
  <c r="AC19" i="9" s="1"/>
  <c r="AA19" i="9"/>
  <c r="Z19" i="9"/>
  <c r="X19" i="9"/>
  <c r="W19" i="9"/>
  <c r="J19" i="9"/>
  <c r="Y19" i="9" s="1"/>
  <c r="AI18" i="9"/>
  <c r="AF18" i="9"/>
  <c r="AD18" i="9"/>
  <c r="AA18" i="9"/>
  <c r="Z18" i="9"/>
  <c r="Y18" i="9"/>
  <c r="X18" i="9"/>
  <c r="W18" i="9"/>
  <c r="J18" i="9"/>
  <c r="AG18" i="9" s="1"/>
  <c r="AH18" i="9" s="1"/>
  <c r="AI17" i="9"/>
  <c r="AI31" i="9" s="1"/>
  <c r="AF17" i="9"/>
  <c r="AF31" i="9" s="1"/>
  <c r="AD17" i="9"/>
  <c r="AD31" i="9" s="1"/>
  <c r="AA17" i="9"/>
  <c r="AA31" i="9" s="1"/>
  <c r="Z17" i="9"/>
  <c r="Z31" i="9" s="1"/>
  <c r="X17" i="9"/>
  <c r="X31" i="9" s="1"/>
  <c r="W17" i="9"/>
  <c r="W31" i="9" s="1"/>
  <c r="J17" i="9"/>
  <c r="J31" i="9" s="1"/>
  <c r="AI16" i="9"/>
  <c r="AG16" i="9"/>
  <c r="AH16" i="9" s="1"/>
  <c r="AF16" i="9"/>
  <c r="AD16" i="9"/>
  <c r="AC16" i="9"/>
  <c r="AB16" i="9"/>
  <c r="AA16" i="9"/>
  <c r="Z16" i="9"/>
  <c r="X16" i="9"/>
  <c r="W16" i="9"/>
  <c r="J16" i="9"/>
  <c r="Y16" i="9" s="1"/>
  <c r="AI15" i="9"/>
  <c r="AG15" i="9"/>
  <c r="AH15" i="9" s="1"/>
  <c r="Z15" i="9"/>
  <c r="X15" i="9"/>
  <c r="W15" i="9"/>
  <c r="R15" i="9"/>
  <c r="AD15" i="9" s="1"/>
  <c r="Q15" i="9"/>
  <c r="AF15" i="9" s="1"/>
  <c r="J15" i="9"/>
  <c r="AB15" i="9" s="1"/>
  <c r="AC15" i="9" s="1"/>
  <c r="AI14" i="9"/>
  <c r="AH14" i="9"/>
  <c r="AG14" i="9"/>
  <c r="AF14" i="9"/>
  <c r="AD14" i="9"/>
  <c r="AB14" i="9"/>
  <c r="AC14" i="9" s="1"/>
  <c r="AA14" i="9"/>
  <c r="Z14" i="9"/>
  <c r="Y14" i="9"/>
  <c r="X14" i="9"/>
  <c r="W14" i="9"/>
  <c r="J14" i="9"/>
  <c r="AI13" i="9"/>
  <c r="AG13" i="9"/>
  <c r="AH13" i="9" s="1"/>
  <c r="AF13" i="9"/>
  <c r="AD13" i="9"/>
  <c r="AB13" i="9"/>
  <c r="AC13" i="9" s="1"/>
  <c r="AA13" i="9"/>
  <c r="Z13" i="9"/>
  <c r="X13" i="9"/>
  <c r="W13" i="9"/>
  <c r="J13" i="9"/>
  <c r="Y13" i="9" s="1"/>
  <c r="AI12" i="9"/>
  <c r="AF12" i="9"/>
  <c r="AD12" i="9"/>
  <c r="AA12" i="9"/>
  <c r="Z12" i="9"/>
  <c r="Y12" i="9"/>
  <c r="X12" i="9"/>
  <c r="W12" i="9"/>
  <c r="J12" i="9"/>
  <c r="AG12" i="9" s="1"/>
  <c r="AH12" i="9" s="1"/>
  <c r="AI11" i="9"/>
  <c r="AI29" i="9" s="1"/>
  <c r="AF11" i="9"/>
  <c r="AF29" i="9" s="1"/>
  <c r="AD11" i="9"/>
  <c r="AD29" i="9" s="1"/>
  <c r="AA11" i="9"/>
  <c r="Z11" i="9"/>
  <c r="Z29" i="9" s="1"/>
  <c r="X11" i="9"/>
  <c r="X29" i="9" s="1"/>
  <c r="W11" i="9"/>
  <c r="J11" i="9"/>
  <c r="AB11" i="9" s="1"/>
  <c r="AI10" i="9"/>
  <c r="AG10" i="9"/>
  <c r="AH10" i="9" s="1"/>
  <c r="AF10" i="9"/>
  <c r="AD10" i="9"/>
  <c r="AC10" i="9"/>
  <c r="AB10" i="9"/>
  <c r="AA10" i="9"/>
  <c r="Z10" i="9"/>
  <c r="Y10" i="9"/>
  <c r="X10" i="9"/>
  <c r="W10" i="9"/>
  <c r="J10" i="9"/>
  <c r="AI9" i="9"/>
  <c r="AI30" i="9" s="1"/>
  <c r="AG9" i="9"/>
  <c r="AF9" i="9"/>
  <c r="AF30" i="9" s="1"/>
  <c r="AD9" i="9"/>
  <c r="AD30" i="9" s="1"/>
  <c r="AB9" i="9"/>
  <c r="AA9" i="9"/>
  <c r="AA30" i="9" s="1"/>
  <c r="Z9" i="9"/>
  <c r="Z30" i="9" s="1"/>
  <c r="Y9" i="9"/>
  <c r="X9" i="9"/>
  <c r="X30" i="9" s="1"/>
  <c r="W9" i="9"/>
  <c r="W30" i="9" s="1"/>
  <c r="J9" i="9"/>
  <c r="J30" i="9" s="1"/>
  <c r="AI8" i="9"/>
  <c r="AF8" i="9"/>
  <c r="AD8" i="9"/>
  <c r="AA8" i="9"/>
  <c r="Z8" i="9"/>
  <c r="Y8" i="9"/>
  <c r="X8" i="9"/>
  <c r="W8" i="9"/>
  <c r="J8" i="9"/>
  <c r="AB8" i="9" s="1"/>
  <c r="AC8" i="9" s="1"/>
  <c r="AI7" i="9"/>
  <c r="AF7" i="9"/>
  <c r="AD7" i="9"/>
  <c r="AA7" i="9"/>
  <c r="Z7" i="9"/>
  <c r="X7" i="9"/>
  <c r="W7" i="9"/>
  <c r="J7" i="9"/>
  <c r="Y7" i="9" s="1"/>
  <c r="Y28" i="9" s="1"/>
  <c r="AI6" i="9"/>
  <c r="AI28" i="9" s="1"/>
  <c r="AI34" i="9" s="1"/>
  <c r="AH6" i="9"/>
  <c r="AG6" i="9"/>
  <c r="AF6" i="9"/>
  <c r="AF28" i="9" s="1"/>
  <c r="AD6" i="9"/>
  <c r="AD28" i="9" s="1"/>
  <c r="AA28" i="9"/>
  <c r="Z6" i="9"/>
  <c r="Z28" i="9" s="1"/>
  <c r="Y6" i="9"/>
  <c r="X6" i="9"/>
  <c r="X28" i="9" s="1"/>
  <c r="W6" i="9"/>
  <c r="W28" i="9" s="1"/>
  <c r="W34" i="9" s="1"/>
  <c r="J6" i="9"/>
  <c r="J28" i="9" s="1"/>
  <c r="Z34" i="9" l="1"/>
  <c r="Q34" i="9"/>
  <c r="X34" i="9"/>
  <c r="AC11" i="9"/>
  <c r="AC29" i="9" s="1"/>
  <c r="AB29" i="9"/>
  <c r="AB33" i="9"/>
  <c r="AC26" i="9"/>
  <c r="AC33" i="9" s="1"/>
  <c r="AD34" i="9"/>
  <c r="AF34" i="9"/>
  <c r="Y30" i="9"/>
  <c r="S34" i="9"/>
  <c r="AH9" i="9"/>
  <c r="Y15" i="9"/>
  <c r="AA25" i="9"/>
  <c r="AA32" i="9" s="1"/>
  <c r="J32" i="9"/>
  <c r="J34" i="9" s="1"/>
  <c r="AB7" i="9"/>
  <c r="AC7" i="9" s="1"/>
  <c r="AC28" i="9" s="1"/>
  <c r="AG17" i="9"/>
  <c r="AB21" i="9"/>
  <c r="AC21" i="9" s="1"/>
  <c r="AB25" i="9"/>
  <c r="Q29" i="9"/>
  <c r="AG11" i="9"/>
  <c r="AG8" i="9"/>
  <c r="AH8" i="9" s="1"/>
  <c r="Y11" i="9"/>
  <c r="AB12" i="9"/>
  <c r="AC12" i="9" s="1"/>
  <c r="AA15" i="9"/>
  <c r="AA29" i="9" s="1"/>
  <c r="Y17" i="9"/>
  <c r="Y31" i="9" s="1"/>
  <c r="AB18" i="9"/>
  <c r="AC18" i="9" s="1"/>
  <c r="AG22" i="9"/>
  <c r="AH22" i="9" s="1"/>
  <c r="AG26" i="9"/>
  <c r="AB28" i="9"/>
  <c r="J29" i="9"/>
  <c r="R29" i="9"/>
  <c r="R34" i="9" s="1"/>
  <c r="J33" i="9"/>
  <c r="AC9" i="9"/>
  <c r="AC30" i="9" s="1"/>
  <c r="AG7" i="9"/>
  <c r="AB17" i="9"/>
  <c r="AG21" i="9"/>
  <c r="AH21" i="9" s="1"/>
  <c r="AG25" i="9"/>
  <c r="AA34" i="9" l="1"/>
  <c r="AE28" i="9"/>
  <c r="AE29" i="9"/>
  <c r="AG32" i="9"/>
  <c r="AH25" i="9"/>
  <c r="AH32" i="9" s="1"/>
  <c r="AJ32" i="9" s="1"/>
  <c r="AH11" i="9"/>
  <c r="AH29" i="9" s="1"/>
  <c r="AJ29" i="9" s="1"/>
  <c r="AG29" i="9"/>
  <c r="AG30" i="9"/>
  <c r="AH7" i="9"/>
  <c r="AH28" i="9" s="1"/>
  <c r="AG28" i="9"/>
  <c r="AG34" i="9" s="1"/>
  <c r="AB32" i="9"/>
  <c r="AC25" i="9"/>
  <c r="AC32" i="9" s="1"/>
  <c r="AE33" i="9"/>
  <c r="Y29" i="9"/>
  <c r="Y34" i="9" s="1"/>
  <c r="AH26" i="9"/>
  <c r="AH33" i="9" s="1"/>
  <c r="AJ33" i="9" s="1"/>
  <c r="AG33" i="9"/>
  <c r="AC17" i="9"/>
  <c r="AC31" i="9" s="1"/>
  <c r="AB31" i="9"/>
  <c r="AE30" i="9"/>
  <c r="AH30" i="9"/>
  <c r="AJ30" i="9" s="1"/>
  <c r="AG31" i="9"/>
  <c r="AH17" i="9"/>
  <c r="AH31" i="9" s="1"/>
  <c r="AJ31" i="9" s="1"/>
  <c r="AB30" i="9"/>
  <c r="AB34" i="9" s="1"/>
  <c r="AH34" i="9" l="1"/>
  <c r="AJ34" i="9" s="1"/>
  <c r="AJ28" i="9"/>
  <c r="AE32" i="9"/>
  <c r="AE31" i="9"/>
  <c r="AC34" i="9"/>
  <c r="AE34" i="9" l="1"/>
  <c r="L13" i="4"/>
  <c r="K13" i="4"/>
  <c r="L15" i="4"/>
  <c r="K15" i="4"/>
  <c r="AD6" i="4"/>
  <c r="AA6" i="4"/>
  <c r="X6" i="4"/>
  <c r="W6" i="4"/>
  <c r="AD25" i="4" l="1"/>
  <c r="AD32" i="4"/>
  <c r="AA13" i="4" l="1"/>
  <c r="X19" i="4"/>
  <c r="AA19" i="2" l="1"/>
  <c r="AA6" i="2"/>
  <c r="X6" i="2"/>
  <c r="X25" i="4"/>
  <c r="X32" i="4" s="1"/>
  <c r="V33" i="4"/>
  <c r="U33" i="4"/>
  <c r="T33" i="4"/>
  <c r="S33" i="4"/>
  <c r="R33" i="4"/>
  <c r="Q33" i="4"/>
  <c r="P33" i="4"/>
  <c r="O33" i="4"/>
  <c r="N33" i="4"/>
  <c r="M33" i="4"/>
  <c r="L33" i="4"/>
  <c r="K33" i="4"/>
  <c r="I33" i="4"/>
  <c r="H33" i="4"/>
  <c r="G33" i="4"/>
  <c r="F33" i="4"/>
  <c r="E33" i="4"/>
  <c r="C33" i="4"/>
  <c r="V32" i="4"/>
  <c r="U32" i="4"/>
  <c r="T32" i="4"/>
  <c r="S32" i="4"/>
  <c r="R32" i="4"/>
  <c r="Q32" i="4"/>
  <c r="P32" i="4"/>
  <c r="O32" i="4"/>
  <c r="N32" i="4"/>
  <c r="M32" i="4"/>
  <c r="L32" i="4"/>
  <c r="K32" i="4"/>
  <c r="I32" i="4"/>
  <c r="H32" i="4"/>
  <c r="G32" i="4"/>
  <c r="F32" i="4"/>
  <c r="E32" i="4"/>
  <c r="C32" i="4"/>
  <c r="V31" i="4"/>
  <c r="U31" i="4"/>
  <c r="T31" i="4"/>
  <c r="S31" i="4"/>
  <c r="P31" i="4"/>
  <c r="O31" i="4"/>
  <c r="N31" i="4"/>
  <c r="M31" i="4"/>
  <c r="L31" i="4"/>
  <c r="K31" i="4"/>
  <c r="I31" i="4"/>
  <c r="H31" i="4"/>
  <c r="G31" i="4"/>
  <c r="F31" i="4"/>
  <c r="E31" i="4"/>
  <c r="C31" i="4"/>
  <c r="V30" i="4"/>
  <c r="U30" i="4"/>
  <c r="T30" i="4"/>
  <c r="S30" i="4"/>
  <c r="R30" i="4"/>
  <c r="Q30" i="4"/>
  <c r="P30" i="4"/>
  <c r="O30" i="4"/>
  <c r="N30" i="4"/>
  <c r="M30" i="4"/>
  <c r="L30" i="4"/>
  <c r="K30" i="4"/>
  <c r="I30" i="4"/>
  <c r="H30" i="4"/>
  <c r="G30" i="4"/>
  <c r="F30" i="4"/>
  <c r="E30" i="4"/>
  <c r="C30" i="4"/>
  <c r="V29" i="4"/>
  <c r="U29" i="4"/>
  <c r="T29" i="4"/>
  <c r="S29" i="4"/>
  <c r="R29" i="4"/>
  <c r="Q29" i="4"/>
  <c r="P29" i="4"/>
  <c r="O29" i="4"/>
  <c r="N29" i="4"/>
  <c r="M29" i="4"/>
  <c r="L29" i="4"/>
  <c r="K29" i="4"/>
  <c r="I29" i="4"/>
  <c r="H29" i="4"/>
  <c r="G29" i="4"/>
  <c r="F29" i="4"/>
  <c r="E29" i="4"/>
  <c r="C29" i="4"/>
  <c r="V28" i="4"/>
  <c r="U28" i="4"/>
  <c r="T28" i="4"/>
  <c r="S28" i="4"/>
  <c r="R28" i="4"/>
  <c r="Q28" i="4"/>
  <c r="P28" i="4"/>
  <c r="O28" i="4"/>
  <c r="N28" i="4"/>
  <c r="M28" i="4"/>
  <c r="L28" i="4"/>
  <c r="K28" i="4"/>
  <c r="I28" i="4"/>
  <c r="H28" i="4"/>
  <c r="G28" i="4"/>
  <c r="F28" i="4"/>
  <c r="E28" i="4"/>
  <c r="C28" i="4"/>
  <c r="AI27" i="4"/>
  <c r="AF27" i="4"/>
  <c r="AD27" i="4"/>
  <c r="AA27" i="4"/>
  <c r="Z27" i="4"/>
  <c r="X27" i="4"/>
  <c r="W27" i="4"/>
  <c r="J27" i="4"/>
  <c r="AG27" i="4" s="1"/>
  <c r="AH27" i="4" s="1"/>
  <c r="AI26" i="4"/>
  <c r="AI33" i="4" s="1"/>
  <c r="AF26" i="4"/>
  <c r="AF33" i="4" s="1"/>
  <c r="AD26" i="4"/>
  <c r="AD33" i="4" s="1"/>
  <c r="AA26" i="4"/>
  <c r="AA33" i="4" s="1"/>
  <c r="Z26" i="4"/>
  <c r="Z33" i="4" s="1"/>
  <c r="X26" i="4"/>
  <c r="X33" i="4" s="1"/>
  <c r="W26" i="4"/>
  <c r="W33" i="4" s="1"/>
  <c r="J26" i="4"/>
  <c r="Y26" i="4" s="1"/>
  <c r="Y33" i="4" s="1"/>
  <c r="AI25" i="4"/>
  <c r="AI32" i="4" s="1"/>
  <c r="AF25" i="4"/>
  <c r="AF32" i="4" s="1"/>
  <c r="AA25" i="4"/>
  <c r="AA32" i="4" s="1"/>
  <c r="Z25" i="4"/>
  <c r="Z32" i="4" s="1"/>
  <c r="W25" i="4"/>
  <c r="W32" i="4" s="1"/>
  <c r="J25" i="4"/>
  <c r="J32" i="4" s="1"/>
  <c r="AI24" i="4"/>
  <c r="AF24" i="4"/>
  <c r="AD24" i="4"/>
  <c r="AA24" i="4"/>
  <c r="Z24" i="4"/>
  <c r="X24" i="4"/>
  <c r="W24" i="4"/>
  <c r="J24" i="4"/>
  <c r="AG24" i="4" s="1"/>
  <c r="AH24" i="4" s="1"/>
  <c r="AI23" i="4"/>
  <c r="AF23" i="4"/>
  <c r="AD23" i="4"/>
  <c r="AA23" i="4"/>
  <c r="Z23" i="4"/>
  <c r="X23" i="4"/>
  <c r="W23" i="4"/>
  <c r="J23" i="4"/>
  <c r="AG23" i="4" s="1"/>
  <c r="AH23" i="4" s="1"/>
  <c r="AI22" i="4"/>
  <c r="AF22" i="4"/>
  <c r="AD22" i="4"/>
  <c r="AA22" i="4"/>
  <c r="Z22" i="4"/>
  <c r="X22" i="4"/>
  <c r="W22" i="4"/>
  <c r="J22" i="4"/>
  <c r="Y22" i="4" s="1"/>
  <c r="AI21" i="4"/>
  <c r="AF21" i="4"/>
  <c r="AD21" i="4"/>
  <c r="AA21" i="4"/>
  <c r="Z21" i="4"/>
  <c r="X21" i="4"/>
  <c r="W21" i="4"/>
  <c r="J21" i="4"/>
  <c r="Y21" i="4" s="1"/>
  <c r="AI20" i="4"/>
  <c r="AF20" i="4"/>
  <c r="AD20" i="4"/>
  <c r="AA20" i="4"/>
  <c r="Z20" i="4"/>
  <c r="X20" i="4"/>
  <c r="W20" i="4"/>
  <c r="J20" i="4"/>
  <c r="AG20" i="4" s="1"/>
  <c r="AH20" i="4" s="1"/>
  <c r="AI19" i="4"/>
  <c r="AF19" i="4"/>
  <c r="AD19" i="4"/>
  <c r="AA19" i="4"/>
  <c r="Z19" i="4"/>
  <c r="W19" i="4"/>
  <c r="J19" i="4"/>
  <c r="Y19" i="4" s="1"/>
  <c r="AI18" i="4"/>
  <c r="AF18" i="4"/>
  <c r="AD18" i="4"/>
  <c r="AA18" i="4"/>
  <c r="Z18" i="4"/>
  <c r="X18" i="4"/>
  <c r="W18" i="4"/>
  <c r="J18" i="4"/>
  <c r="Y18" i="4" s="1"/>
  <c r="AF17" i="4"/>
  <c r="AF31" i="4" s="1"/>
  <c r="AA17" i="4"/>
  <c r="AA31" i="4" s="1"/>
  <c r="Z17" i="4"/>
  <c r="Z31" i="4" s="1"/>
  <c r="X17" i="4"/>
  <c r="X31" i="4" s="1"/>
  <c r="W17" i="4"/>
  <c r="W31" i="4" s="1"/>
  <c r="R17" i="4"/>
  <c r="R31" i="4" s="1"/>
  <c r="Q17" i="4"/>
  <c r="Q31" i="4" s="1"/>
  <c r="J17" i="4"/>
  <c r="J31" i="4" s="1"/>
  <c r="AI16" i="4"/>
  <c r="AF16" i="4"/>
  <c r="AD16" i="4"/>
  <c r="AA16" i="4"/>
  <c r="Z16" i="4"/>
  <c r="X16" i="4"/>
  <c r="W16" i="4"/>
  <c r="J16" i="4"/>
  <c r="Y16" i="4" s="1"/>
  <c r="AI15" i="4"/>
  <c r="AF15" i="4"/>
  <c r="AD15" i="4"/>
  <c r="AA15" i="4"/>
  <c r="Z15" i="4"/>
  <c r="X15" i="4"/>
  <c r="W15" i="4"/>
  <c r="J15" i="4"/>
  <c r="Y15" i="4" s="1"/>
  <c r="AI14" i="4"/>
  <c r="AF14" i="4"/>
  <c r="AD14" i="4"/>
  <c r="AA14" i="4"/>
  <c r="Z14" i="4"/>
  <c r="X14" i="4"/>
  <c r="W14" i="4"/>
  <c r="J14" i="4"/>
  <c r="AB14" i="4" s="1"/>
  <c r="AC14" i="4" s="1"/>
  <c r="AI13" i="4"/>
  <c r="AF13" i="4"/>
  <c r="AD13" i="4"/>
  <c r="Z13" i="4"/>
  <c r="X13" i="4"/>
  <c r="W13" i="4"/>
  <c r="J13" i="4"/>
  <c r="AB13" i="4" s="1"/>
  <c r="AC13" i="4" s="1"/>
  <c r="AI12" i="4"/>
  <c r="AF12" i="4"/>
  <c r="AD12" i="4"/>
  <c r="AA12" i="4"/>
  <c r="Z12" i="4"/>
  <c r="X12" i="4"/>
  <c r="W12" i="4"/>
  <c r="J12" i="4"/>
  <c r="Y12" i="4" s="1"/>
  <c r="AI11" i="4"/>
  <c r="AF11" i="4"/>
  <c r="AD11" i="4"/>
  <c r="AA11" i="4"/>
  <c r="Z11" i="4"/>
  <c r="X11" i="4"/>
  <c r="W11" i="4"/>
  <c r="J11" i="4"/>
  <c r="Y11" i="4" s="1"/>
  <c r="AI10" i="4"/>
  <c r="AF10" i="4"/>
  <c r="AD10" i="4"/>
  <c r="AA10" i="4"/>
  <c r="Z10" i="4"/>
  <c r="X10" i="4"/>
  <c r="W10" i="4"/>
  <c r="J10" i="4"/>
  <c r="Y10" i="4" s="1"/>
  <c r="AI9" i="4"/>
  <c r="AF9" i="4"/>
  <c r="AD9" i="4"/>
  <c r="AA9" i="4"/>
  <c r="Z9" i="4"/>
  <c r="X9" i="4"/>
  <c r="W9" i="4"/>
  <c r="J9" i="4"/>
  <c r="AB9" i="4" s="1"/>
  <c r="AC9" i="4" s="1"/>
  <c r="AI8" i="4"/>
  <c r="AF8" i="4"/>
  <c r="AD8" i="4"/>
  <c r="AA8" i="4"/>
  <c r="Z8" i="4"/>
  <c r="X8" i="4"/>
  <c r="W8" i="4"/>
  <c r="J8" i="4"/>
  <c r="Y8" i="4" s="1"/>
  <c r="AI7" i="4"/>
  <c r="AF7" i="4"/>
  <c r="AD7" i="4"/>
  <c r="AA7" i="4"/>
  <c r="Z7" i="4"/>
  <c r="X7" i="4"/>
  <c r="W7" i="4"/>
  <c r="J7" i="4"/>
  <c r="Y7" i="4" s="1"/>
  <c r="AI6" i="4"/>
  <c r="AF6" i="4"/>
  <c r="Z6" i="4"/>
  <c r="J6" i="4"/>
  <c r="AB6" i="4" s="1"/>
  <c r="AC6" i="4" s="1"/>
  <c r="J11" i="2"/>
  <c r="S34" i="4" l="1"/>
  <c r="Y20" i="4"/>
  <c r="Y14" i="4"/>
  <c r="G34" i="4"/>
  <c r="Y9" i="4"/>
  <c r="Y30" i="4" s="1"/>
  <c r="Y27" i="4"/>
  <c r="AG9" i="4"/>
  <c r="AH9" i="4" s="1"/>
  <c r="Z28" i="4"/>
  <c r="AB24" i="4"/>
  <c r="AC24" i="4" s="1"/>
  <c r="W30" i="4"/>
  <c r="Y23" i="4"/>
  <c r="T34" i="4"/>
  <c r="F34" i="4"/>
  <c r="J28" i="4"/>
  <c r="W29" i="4"/>
  <c r="X30" i="4"/>
  <c r="Y13" i="4"/>
  <c r="AB20" i="4"/>
  <c r="AC20" i="4" s="1"/>
  <c r="Y24" i="4"/>
  <c r="AG19" i="4"/>
  <c r="AH19" i="4" s="1"/>
  <c r="W28" i="4"/>
  <c r="AG6" i="4"/>
  <c r="AH6" i="4" s="1"/>
  <c r="AG10" i="4"/>
  <c r="AH10" i="4" s="1"/>
  <c r="X29" i="4"/>
  <c r="AB19" i="4"/>
  <c r="AC19" i="4" s="1"/>
  <c r="X28" i="4"/>
  <c r="AB10" i="4"/>
  <c r="AC10" i="4" s="1"/>
  <c r="AG14" i="4"/>
  <c r="AH14" i="4" s="1"/>
  <c r="C34" i="4"/>
  <c r="U34" i="4"/>
  <c r="Z29" i="4"/>
  <c r="H34" i="4"/>
  <c r="Y6" i="4"/>
  <c r="J30" i="4"/>
  <c r="Z30" i="4"/>
  <c r="AI30" i="4"/>
  <c r="AA29" i="4"/>
  <c r="AG13" i="4"/>
  <c r="AH13" i="4" s="1"/>
  <c r="E34" i="4"/>
  <c r="I34" i="4"/>
  <c r="V34" i="4"/>
  <c r="AD29" i="4"/>
  <c r="AF29" i="4"/>
  <c r="N34" i="4"/>
  <c r="O34" i="4"/>
  <c r="P34" i="4"/>
  <c r="M34" i="4"/>
  <c r="AD28" i="4"/>
  <c r="AF28" i="4"/>
  <c r="AA28" i="4"/>
  <c r="AI28" i="4"/>
  <c r="AI29" i="4"/>
  <c r="AD30" i="4"/>
  <c r="L34" i="4"/>
  <c r="AF30" i="4"/>
  <c r="AA30" i="4"/>
  <c r="K34" i="4"/>
  <c r="Q34" i="4"/>
  <c r="R34" i="4"/>
  <c r="AB7" i="4"/>
  <c r="AC7" i="4" s="1"/>
  <c r="AG7" i="4"/>
  <c r="AH7" i="4" s="1"/>
  <c r="AG11" i="4"/>
  <c r="AB15" i="4"/>
  <c r="AC15" i="4" s="1"/>
  <c r="AG15" i="4"/>
  <c r="AH15" i="4" s="1"/>
  <c r="AB17" i="4"/>
  <c r="AG17" i="4"/>
  <c r="AB21" i="4"/>
  <c r="AC21" i="4" s="1"/>
  <c r="AG21" i="4"/>
  <c r="AH21" i="4" s="1"/>
  <c r="AB25" i="4"/>
  <c r="AG25" i="4"/>
  <c r="J29" i="4"/>
  <c r="J33" i="4"/>
  <c r="AB11" i="4"/>
  <c r="AB8" i="4"/>
  <c r="AC8" i="4" s="1"/>
  <c r="AG8" i="4"/>
  <c r="AH8" i="4" s="1"/>
  <c r="AB12" i="4"/>
  <c r="AC12" i="4" s="1"/>
  <c r="AG12" i="4"/>
  <c r="AH12" i="4" s="1"/>
  <c r="AB16" i="4"/>
  <c r="AC16" i="4" s="1"/>
  <c r="AG16" i="4"/>
  <c r="AH16" i="4" s="1"/>
  <c r="Y17" i="4"/>
  <c r="Y31" i="4" s="1"/>
  <c r="AB18" i="4"/>
  <c r="AC18" i="4" s="1"/>
  <c r="AG18" i="4"/>
  <c r="AH18" i="4" s="1"/>
  <c r="AB22" i="4"/>
  <c r="AC22" i="4" s="1"/>
  <c r="AG22" i="4"/>
  <c r="AH22" i="4" s="1"/>
  <c r="Y25" i="4"/>
  <c r="Y32" i="4" s="1"/>
  <c r="AB26" i="4"/>
  <c r="AG26" i="4"/>
  <c r="AD17" i="4"/>
  <c r="AD31" i="4" s="1"/>
  <c r="AI17" i="4"/>
  <c r="AI31" i="4" s="1"/>
  <c r="AB23" i="4"/>
  <c r="AC23" i="4" s="1"/>
  <c r="AB27" i="4"/>
  <c r="AC27" i="4" s="1"/>
  <c r="W6" i="2"/>
  <c r="AD6" i="2"/>
  <c r="W7" i="2"/>
  <c r="W8" i="2"/>
  <c r="W9" i="2"/>
  <c r="W10" i="2"/>
  <c r="W11" i="2"/>
  <c r="W12" i="2"/>
  <c r="W13" i="2"/>
  <c r="W14" i="2"/>
  <c r="W15" i="2"/>
  <c r="W16" i="2"/>
  <c r="W17" i="2"/>
  <c r="W31" i="2" s="1"/>
  <c r="W18" i="2"/>
  <c r="W19" i="2"/>
  <c r="W20" i="2"/>
  <c r="W21" i="2"/>
  <c r="W22" i="2"/>
  <c r="W23" i="2"/>
  <c r="W24" i="2"/>
  <c r="W25" i="2"/>
  <c r="W32" i="2" s="1"/>
  <c r="W26" i="2"/>
  <c r="W33" i="2" s="1"/>
  <c r="W27" i="2"/>
  <c r="X26" i="2"/>
  <c r="X34" i="4" l="1"/>
  <c r="Z34" i="4"/>
  <c r="Y29" i="4"/>
  <c r="Y28" i="4"/>
  <c r="W34" i="4"/>
  <c r="J34" i="4"/>
  <c r="AH30" i="4"/>
  <c r="AJ30" i="4" s="1"/>
  <c r="AC30" i="4"/>
  <c r="AE30" i="4" s="1"/>
  <c r="AA34" i="4"/>
  <c r="AB28" i="4"/>
  <c r="AF34" i="4"/>
  <c r="AI34" i="4"/>
  <c r="AD34" i="4"/>
  <c r="AB33" i="4"/>
  <c r="AC26" i="4"/>
  <c r="AC33" i="4" s="1"/>
  <c r="AE33" i="4" s="1"/>
  <c r="AH28" i="4"/>
  <c r="AG28" i="4"/>
  <c r="AG33" i="4"/>
  <c r="AH26" i="4"/>
  <c r="AH33" i="4" s="1"/>
  <c r="AJ33" i="4" s="1"/>
  <c r="AB29" i="4"/>
  <c r="AC11" i="4"/>
  <c r="AG32" i="4"/>
  <c r="AH25" i="4"/>
  <c r="AH32" i="4" s="1"/>
  <c r="AJ32" i="4" s="1"/>
  <c r="AG31" i="4"/>
  <c r="AH17" i="4"/>
  <c r="AH31" i="4" s="1"/>
  <c r="AJ31" i="4" s="1"/>
  <c r="AG29" i="4"/>
  <c r="AH11" i="4"/>
  <c r="AH29" i="4" s="1"/>
  <c r="AJ29" i="4" s="1"/>
  <c r="AB30" i="4"/>
  <c r="AC28" i="4"/>
  <c r="AE28" i="4" s="1"/>
  <c r="AB32" i="4"/>
  <c r="AC25" i="4"/>
  <c r="AC32" i="4" s="1"/>
  <c r="AE32" i="4" s="1"/>
  <c r="AC17" i="4"/>
  <c r="AC31" i="4" s="1"/>
  <c r="AE31" i="4" s="1"/>
  <c r="AB31" i="4"/>
  <c r="AG30" i="4"/>
  <c r="W30" i="2"/>
  <c r="W29" i="2"/>
  <c r="W28" i="2"/>
  <c r="AA25" i="2"/>
  <c r="X25" i="2"/>
  <c r="X32" i="2" s="1"/>
  <c r="AF7" i="2"/>
  <c r="AI7" i="2"/>
  <c r="AF8" i="2"/>
  <c r="AI8" i="2"/>
  <c r="AF9" i="2"/>
  <c r="AI9" i="2"/>
  <c r="AF10" i="2"/>
  <c r="AI10" i="2"/>
  <c r="AF11" i="2"/>
  <c r="AI11" i="2"/>
  <c r="AF12" i="2"/>
  <c r="AI12" i="2"/>
  <c r="AF13" i="2"/>
  <c r="AI13" i="2"/>
  <c r="AF14" i="2"/>
  <c r="AI14" i="2"/>
  <c r="AF15" i="2"/>
  <c r="AI15" i="2"/>
  <c r="AF16" i="2"/>
  <c r="AI16" i="2"/>
  <c r="AF18" i="2"/>
  <c r="AI18" i="2"/>
  <c r="AF19" i="2"/>
  <c r="AI19" i="2"/>
  <c r="AF20" i="2"/>
  <c r="AI20" i="2"/>
  <c r="AF21" i="2"/>
  <c r="AI21" i="2"/>
  <c r="AF22" i="2"/>
  <c r="AI22" i="2"/>
  <c r="AF23" i="2"/>
  <c r="AI23" i="2"/>
  <c r="AF24" i="2"/>
  <c r="AI24" i="2"/>
  <c r="AF25" i="2"/>
  <c r="AF32" i="2" s="1"/>
  <c r="AI25" i="2"/>
  <c r="AF26" i="2"/>
  <c r="AF33" i="2" s="1"/>
  <c r="AI26" i="2"/>
  <c r="AF27" i="2"/>
  <c r="AI27" i="2"/>
  <c r="AI6" i="2"/>
  <c r="AF6" i="2"/>
  <c r="AA7" i="2"/>
  <c r="AD7" i="2"/>
  <c r="AA8" i="2"/>
  <c r="AD8" i="2"/>
  <c r="AA9" i="2"/>
  <c r="AD9" i="2"/>
  <c r="AA10" i="2"/>
  <c r="AD10" i="2"/>
  <c r="AA11" i="2"/>
  <c r="AD11" i="2"/>
  <c r="AA12" i="2"/>
  <c r="AD12" i="2"/>
  <c r="AA13" i="2"/>
  <c r="AD13" i="2"/>
  <c r="AA14" i="2"/>
  <c r="AD14" i="2"/>
  <c r="AA15" i="2"/>
  <c r="AD15" i="2"/>
  <c r="AA16" i="2"/>
  <c r="AD16" i="2"/>
  <c r="AA18" i="2"/>
  <c r="AD18" i="2"/>
  <c r="AD19" i="2"/>
  <c r="AA20" i="2"/>
  <c r="AD20" i="2"/>
  <c r="AA21" i="2"/>
  <c r="AD21" i="2"/>
  <c r="AA22" i="2"/>
  <c r="AD22" i="2"/>
  <c r="AA23" i="2"/>
  <c r="AD23" i="2"/>
  <c r="AA24" i="2"/>
  <c r="AD24" i="2"/>
  <c r="AD25" i="2"/>
  <c r="AD32" i="2" s="1"/>
  <c r="AA26" i="2"/>
  <c r="AD26" i="2"/>
  <c r="AA27" i="2"/>
  <c r="AD27" i="2"/>
  <c r="X7" i="2"/>
  <c r="Z7" i="2"/>
  <c r="X8" i="2"/>
  <c r="Z8" i="2"/>
  <c r="X9" i="2"/>
  <c r="Z9" i="2"/>
  <c r="X10" i="2"/>
  <c r="Z10" i="2"/>
  <c r="X11" i="2"/>
  <c r="Z11" i="2"/>
  <c r="X12" i="2"/>
  <c r="Z12" i="2"/>
  <c r="X13" i="2"/>
  <c r="Z13" i="2"/>
  <c r="X14" i="2"/>
  <c r="Z14" i="2"/>
  <c r="X15" i="2"/>
  <c r="Z15" i="2"/>
  <c r="X16" i="2"/>
  <c r="Z16" i="2"/>
  <c r="X17" i="2"/>
  <c r="X31" i="2" s="1"/>
  <c r="Z17" i="2"/>
  <c r="Z31" i="2" s="1"/>
  <c r="X18" i="2"/>
  <c r="Z18" i="2"/>
  <c r="X19" i="2"/>
  <c r="Z19" i="2"/>
  <c r="X20" i="2"/>
  <c r="Z20" i="2"/>
  <c r="X21" i="2"/>
  <c r="Z21" i="2"/>
  <c r="X22" i="2"/>
  <c r="Z22" i="2"/>
  <c r="X23" i="2"/>
  <c r="Z23" i="2"/>
  <c r="X24" i="2"/>
  <c r="Z24" i="2"/>
  <c r="Z25" i="2"/>
  <c r="Z32" i="2" s="1"/>
  <c r="X33" i="2"/>
  <c r="Z26" i="2"/>
  <c r="Z33" i="2" s="1"/>
  <c r="X27" i="2"/>
  <c r="Z27" i="2"/>
  <c r="Z6" i="2"/>
  <c r="AA32" i="2"/>
  <c r="R17" i="2"/>
  <c r="AD17" i="2" s="1"/>
  <c r="Q17" i="2"/>
  <c r="AA17" i="2" s="1"/>
  <c r="AC29" i="4" l="1"/>
  <c r="AE29" i="4" s="1"/>
  <c r="AA31" i="2"/>
  <c r="AA33" i="2"/>
  <c r="W34" i="2"/>
  <c r="Y34" i="4"/>
  <c r="AB34" i="4"/>
  <c r="AG34" i="4"/>
  <c r="AH34" i="4"/>
  <c r="AJ34" i="4" s="1"/>
  <c r="AJ28" i="4"/>
  <c r="AI33" i="2"/>
  <c r="AI32" i="2"/>
  <c r="AA30" i="2"/>
  <c r="AI28" i="2"/>
  <c r="AD33" i="2"/>
  <c r="AF30" i="2"/>
  <c r="AD31" i="2"/>
  <c r="AD29" i="2"/>
  <c r="AI29" i="2"/>
  <c r="Z29" i="2"/>
  <c r="AA28" i="2"/>
  <c r="AF28" i="2"/>
  <c r="Z30" i="2"/>
  <c r="AI30" i="2"/>
  <c r="AA29" i="2"/>
  <c r="X29" i="2"/>
  <c r="AF29" i="2"/>
  <c r="Z28" i="2"/>
  <c r="AI17" i="2"/>
  <c r="X30" i="2"/>
  <c r="X28" i="2"/>
  <c r="AF17" i="2"/>
  <c r="AF31" i="2" s="1"/>
  <c r="AD30" i="2"/>
  <c r="AD28" i="2"/>
  <c r="Q28" i="2"/>
  <c r="R28" i="2"/>
  <c r="Q29" i="2"/>
  <c r="R29" i="2"/>
  <c r="Q30" i="2"/>
  <c r="R30" i="2"/>
  <c r="Q31" i="2"/>
  <c r="R31" i="2"/>
  <c r="Q32" i="2"/>
  <c r="R32" i="2"/>
  <c r="Q33" i="2"/>
  <c r="R33" i="2"/>
  <c r="S28" i="2"/>
  <c r="T28" i="2"/>
  <c r="S29" i="2"/>
  <c r="T29" i="2"/>
  <c r="S30" i="2"/>
  <c r="T30" i="2"/>
  <c r="S31" i="2"/>
  <c r="T31" i="2"/>
  <c r="S32" i="2"/>
  <c r="T32" i="2"/>
  <c r="S33" i="2"/>
  <c r="T33" i="2"/>
  <c r="AC34" i="4" l="1"/>
  <c r="AE34" i="4" s="1"/>
  <c r="T34" i="2"/>
  <c r="AI31" i="2"/>
  <c r="AI34" i="2" s="1"/>
  <c r="AA34" i="2"/>
  <c r="X34" i="2"/>
  <c r="AD34" i="2"/>
  <c r="AF34" i="2"/>
  <c r="Z34" i="2"/>
  <c r="R34" i="2"/>
  <c r="Q34" i="2"/>
  <c r="S34" i="2"/>
  <c r="V33" i="2"/>
  <c r="V32" i="2"/>
  <c r="V31" i="2"/>
  <c r="V30" i="2"/>
  <c r="V29" i="2"/>
  <c r="V28" i="2"/>
  <c r="U33" i="2"/>
  <c r="U32" i="2"/>
  <c r="U31" i="2"/>
  <c r="U30" i="2"/>
  <c r="U29" i="2"/>
  <c r="U28" i="2"/>
  <c r="V34" i="2" l="1"/>
  <c r="U34" i="2"/>
  <c r="O28" i="2" l="1"/>
  <c r="P28" i="2"/>
  <c r="O29" i="2"/>
  <c r="P29" i="2"/>
  <c r="O30" i="2"/>
  <c r="P30" i="2"/>
  <c r="O31" i="2"/>
  <c r="P31" i="2"/>
  <c r="O32" i="2"/>
  <c r="P32" i="2"/>
  <c r="O33" i="2"/>
  <c r="P33" i="2"/>
  <c r="M28" i="2"/>
  <c r="N28" i="2"/>
  <c r="M29" i="2"/>
  <c r="N29" i="2"/>
  <c r="M30" i="2"/>
  <c r="N30" i="2"/>
  <c r="M31" i="2"/>
  <c r="N31" i="2"/>
  <c r="M32" i="2"/>
  <c r="N32" i="2"/>
  <c r="M33" i="2"/>
  <c r="N33" i="2"/>
  <c r="K28" i="2"/>
  <c r="L28" i="2"/>
  <c r="K29" i="2"/>
  <c r="L29" i="2"/>
  <c r="K30" i="2"/>
  <c r="L30" i="2"/>
  <c r="K31" i="2"/>
  <c r="L31" i="2"/>
  <c r="K32" i="2"/>
  <c r="L32" i="2"/>
  <c r="K33" i="2"/>
  <c r="L33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E33" i="2"/>
  <c r="E32" i="2"/>
  <c r="E31" i="2"/>
  <c r="E30" i="2"/>
  <c r="E29" i="2"/>
  <c r="E28" i="2"/>
  <c r="C29" i="2"/>
  <c r="C30" i="2"/>
  <c r="C33" i="2"/>
  <c r="C32" i="2"/>
  <c r="C31" i="2"/>
  <c r="C28" i="2"/>
  <c r="J7" i="2"/>
  <c r="J8" i="2"/>
  <c r="J9" i="2"/>
  <c r="J10" i="2"/>
  <c r="J12" i="2"/>
  <c r="J13" i="2"/>
  <c r="J14" i="2"/>
  <c r="J15" i="2"/>
  <c r="J16" i="2"/>
  <c r="J17" i="2"/>
  <c r="J18" i="2"/>
  <c r="J19" i="2"/>
  <c r="AB19" i="2" s="1"/>
  <c r="J20" i="2"/>
  <c r="J21" i="2"/>
  <c r="J22" i="2"/>
  <c r="J23" i="2"/>
  <c r="J24" i="2"/>
  <c r="J25" i="2"/>
  <c r="J26" i="2"/>
  <c r="J27" i="2"/>
  <c r="J6" i="2"/>
  <c r="Y15" i="2" l="1"/>
  <c r="AG15" i="2"/>
  <c r="AH15" i="2" s="1"/>
  <c r="AB15" i="2"/>
  <c r="AC15" i="2" s="1"/>
  <c r="J32" i="2"/>
  <c r="AB25" i="2"/>
  <c r="Y25" i="2"/>
  <c r="Y32" i="2" s="1"/>
  <c r="AG25" i="2"/>
  <c r="AH25" i="2" s="1"/>
  <c r="J31" i="2"/>
  <c r="AB17" i="2"/>
  <c r="Y17" i="2"/>
  <c r="Y31" i="2" s="1"/>
  <c r="AG17" i="2"/>
  <c r="AH17" i="2" s="1"/>
  <c r="AG27" i="2"/>
  <c r="AH27" i="2" s="1"/>
  <c r="AB27" i="2"/>
  <c r="AC27" i="2" s="1"/>
  <c r="Y27" i="2"/>
  <c r="J33" i="2"/>
  <c r="AB26" i="2"/>
  <c r="Y26" i="2"/>
  <c r="Y33" i="2" s="1"/>
  <c r="AG26" i="2"/>
  <c r="AH26" i="2" s="1"/>
  <c r="AB24" i="2"/>
  <c r="AC24" i="2" s="1"/>
  <c r="Y24" i="2"/>
  <c r="AG24" i="2"/>
  <c r="AH24" i="2" s="1"/>
  <c r="Y11" i="2"/>
  <c r="AG11" i="2"/>
  <c r="AB11" i="2"/>
  <c r="Y23" i="2"/>
  <c r="AG23" i="2"/>
  <c r="AH23" i="2" s="1"/>
  <c r="AB23" i="2"/>
  <c r="AC23" i="2" s="1"/>
  <c r="Y6" i="2"/>
  <c r="AG6" i="2"/>
  <c r="AH6" i="2" s="1"/>
  <c r="AB6" i="2"/>
  <c r="AC6" i="2" s="1"/>
  <c r="AB22" i="2"/>
  <c r="AC22" i="2" s="1"/>
  <c r="Y22" i="2"/>
  <c r="AG22" i="2"/>
  <c r="AH22" i="2" s="1"/>
  <c r="Y21" i="2"/>
  <c r="AB21" i="2"/>
  <c r="AC21" i="2" s="1"/>
  <c r="AG21" i="2"/>
  <c r="AH21" i="2" s="1"/>
  <c r="Y20" i="2"/>
  <c r="AG20" i="2"/>
  <c r="AH20" i="2" s="1"/>
  <c r="AB20" i="2"/>
  <c r="AC20" i="2" s="1"/>
  <c r="Y8" i="2"/>
  <c r="AG8" i="2"/>
  <c r="AH8" i="2" s="1"/>
  <c r="AB8" i="2"/>
  <c r="AC8" i="2" s="1"/>
  <c r="Y18" i="2"/>
  <c r="AB18" i="2"/>
  <c r="AC18" i="2" s="1"/>
  <c r="AG18" i="2"/>
  <c r="AH18" i="2" s="1"/>
  <c r="Y16" i="2"/>
  <c r="AB16" i="2"/>
  <c r="AC16" i="2" s="1"/>
  <c r="AG16" i="2"/>
  <c r="AH16" i="2" s="1"/>
  <c r="AB14" i="2"/>
  <c r="AC14" i="2" s="1"/>
  <c r="Y14" i="2"/>
  <c r="AG14" i="2"/>
  <c r="AH14" i="2" s="1"/>
  <c r="AB13" i="2"/>
  <c r="AC13" i="2" s="1"/>
  <c r="Y13" i="2"/>
  <c r="AG13" i="2"/>
  <c r="AH13" i="2" s="1"/>
  <c r="AB12" i="2"/>
  <c r="AC12" i="2" s="1"/>
  <c r="Y12" i="2"/>
  <c r="AG12" i="2"/>
  <c r="AH12" i="2" s="1"/>
  <c r="AB10" i="2"/>
  <c r="AC10" i="2" s="1"/>
  <c r="Y10" i="2"/>
  <c r="AG10" i="2"/>
  <c r="AH10" i="2" s="1"/>
  <c r="AB9" i="2"/>
  <c r="AC9" i="2" s="1"/>
  <c r="Y9" i="2"/>
  <c r="AG9" i="2"/>
  <c r="AH9" i="2" s="1"/>
  <c r="Y19" i="2"/>
  <c r="AG19" i="2"/>
  <c r="AH19" i="2" s="1"/>
  <c r="AC19" i="2"/>
  <c r="Y7" i="2"/>
  <c r="AG7" i="2"/>
  <c r="AH7" i="2" s="1"/>
  <c r="AB7" i="2"/>
  <c r="AC7" i="2" s="1"/>
  <c r="O34" i="2"/>
  <c r="J29" i="2"/>
  <c r="P34" i="2"/>
  <c r="N34" i="2"/>
  <c r="M34" i="2"/>
  <c r="G34" i="2"/>
  <c r="J28" i="2"/>
  <c r="J30" i="2"/>
  <c r="I34" i="2"/>
  <c r="F34" i="2"/>
  <c r="L34" i="2"/>
  <c r="K34" i="2"/>
  <c r="H34" i="2"/>
  <c r="E34" i="2"/>
  <c r="C34" i="2"/>
  <c r="Y29" i="2" l="1"/>
  <c r="AH11" i="2"/>
  <c r="AH29" i="2" s="1"/>
  <c r="AJ29" i="2" s="1"/>
  <c r="AC25" i="2"/>
  <c r="AC26" i="2"/>
  <c r="AC11" i="2"/>
  <c r="AC17" i="2"/>
  <c r="AG32" i="2"/>
  <c r="AH32" i="2"/>
  <c r="AJ32" i="2" s="1"/>
  <c r="AG33" i="2"/>
  <c r="AH33" i="2"/>
  <c r="AJ33" i="2" s="1"/>
  <c r="AH28" i="2"/>
  <c r="AJ28" i="2" s="1"/>
  <c r="AG31" i="2"/>
  <c r="AH31" i="2"/>
  <c r="AJ31" i="2" s="1"/>
  <c r="AH30" i="2"/>
  <c r="AJ30" i="2" s="1"/>
  <c r="AC28" i="2"/>
  <c r="AE28" i="2" s="1"/>
  <c r="AC30" i="2"/>
  <c r="AE30" i="2" s="1"/>
  <c r="AG29" i="2"/>
  <c r="AB31" i="2"/>
  <c r="AB32" i="2"/>
  <c r="AB33" i="2"/>
  <c r="AB29" i="2"/>
  <c r="AB30" i="2"/>
  <c r="AB28" i="2"/>
  <c r="Y28" i="2"/>
  <c r="AG30" i="2"/>
  <c r="Y30" i="2"/>
  <c r="AG28" i="2"/>
  <c r="J34" i="2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3" i="1"/>
  <c r="H4" i="1"/>
  <c r="H5" i="1"/>
  <c r="H6" i="1"/>
  <c r="J6" i="1" s="1"/>
  <c r="H7" i="1"/>
  <c r="J7" i="1" s="1"/>
  <c r="H8" i="1"/>
  <c r="H9" i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H17" i="1"/>
  <c r="H18" i="1"/>
  <c r="J18" i="1" s="1"/>
  <c r="H19" i="1"/>
  <c r="H20" i="1"/>
  <c r="H21" i="1"/>
  <c r="J21" i="1" s="1"/>
  <c r="H22" i="1"/>
  <c r="H23" i="1"/>
  <c r="J23" i="1" s="1"/>
  <c r="H24" i="1"/>
  <c r="H25" i="1"/>
  <c r="H26" i="1"/>
  <c r="J26" i="1" s="1"/>
  <c r="H3" i="1"/>
  <c r="J5" i="1"/>
  <c r="J10" i="1"/>
  <c r="J19" i="1"/>
  <c r="J24" i="1"/>
  <c r="J25" i="1"/>
  <c r="J3" i="1"/>
  <c r="J4" i="1"/>
  <c r="J8" i="1"/>
  <c r="J9" i="1"/>
  <c r="J16" i="1"/>
  <c r="J17" i="1"/>
  <c r="J20" i="1"/>
  <c r="J22" i="1"/>
  <c r="AC31" i="2" l="1"/>
  <c r="AE31" i="2" s="1"/>
  <c r="AC33" i="2"/>
  <c r="AE33" i="2" s="1"/>
  <c r="AC32" i="2"/>
  <c r="AE32" i="2" s="1"/>
  <c r="AC29" i="2"/>
  <c r="AE29" i="2" s="1"/>
  <c r="AH34" i="2"/>
  <c r="AJ34" i="2" s="1"/>
  <c r="AB34" i="2"/>
  <c r="Y34" i="2"/>
  <c r="AG34" i="2"/>
  <c r="AC34" i="2" l="1"/>
  <c r="AE34" i="2" s="1"/>
</calcChain>
</file>

<file path=xl/sharedStrings.xml><?xml version="1.0" encoding="utf-8"?>
<sst xmlns="http://schemas.openxmlformats.org/spreadsheetml/2006/main" count="289" uniqueCount="54">
  <si>
    <t>GG</t>
  </si>
  <si>
    <t>Fonds</t>
  </si>
  <si>
    <t>MP</t>
  </si>
  <si>
    <t>NVI (Kontu slēgumi)</t>
  </si>
  <si>
    <t>Korekcijas (Kontu slēgumi)</t>
  </si>
  <si>
    <t>Atgūti maksājumi (Kontu slēgumi)</t>
  </si>
  <si>
    <t>No MPEK izkļautās NVI</t>
  </si>
  <si>
    <t>Kopā</t>
  </si>
  <si>
    <t>KP VIS</t>
  </si>
  <si>
    <t>Atšķirība</t>
  </si>
  <si>
    <t>2 - 01.07.2015 - 30.06.2016</t>
  </si>
  <si>
    <t>ERAF</t>
  </si>
  <si>
    <t>ESF</t>
  </si>
  <si>
    <t>KF</t>
  </si>
  <si>
    <t>3 - 01.07.2016 - 30.06.2017</t>
  </si>
  <si>
    <t>4 - 01.07.2017 - 30.06.2018</t>
  </si>
  <si>
    <t>5 - 01.07.2018 - 30.06.2019</t>
  </si>
  <si>
    <t>6 - 01.07.2019 - 30.06.2020</t>
  </si>
  <si>
    <t>7 - 01.07.2020 - 30.06.2021</t>
  </si>
  <si>
    <t>8 - 01.07.2021 - 30.06.2022</t>
  </si>
  <si>
    <t>9 - 01.07.2022 - 30.06.2023</t>
  </si>
  <si>
    <t>1. līdz 9. grāmatvedības gadu kontu slēgumi</t>
  </si>
  <si>
    <t>10.GG</t>
  </si>
  <si>
    <t>Pieprasītie izdevumi 10.GG (MPEK Nr.1.-4.)</t>
  </si>
  <si>
    <t>Prognozes</t>
  </si>
  <si>
    <t>EK pieprasītie izdevumi šobrīd</t>
  </si>
  <si>
    <r>
      <t xml:space="preserve">Prognoze perioda beigās (esošās likmes)
</t>
    </r>
    <r>
      <rPr>
        <i/>
        <sz val="10"/>
        <color theme="1"/>
        <rFont val="Calibri"/>
        <family val="2"/>
        <charset val="186"/>
        <scheme val="minor"/>
      </rPr>
      <t>Netiek ņemti vērā apturētie maksājumi un ieturējumi no MPEK</t>
    </r>
  </si>
  <si>
    <r>
      <t>Prognoze perioda beigās (100% likme 10.gg)</t>
    </r>
    <r>
      <rPr>
        <sz val="10"/>
        <color theme="1"/>
        <rFont val="Calibri"/>
        <family val="2"/>
        <charset val="186"/>
        <scheme val="minor"/>
      </rPr>
      <t xml:space="preserve">
</t>
    </r>
    <r>
      <rPr>
        <i/>
        <sz val="10"/>
        <color theme="1"/>
        <rFont val="Calibri"/>
        <family val="2"/>
        <charset val="186"/>
        <scheme val="minor"/>
      </rPr>
      <t>Netiek ņemti vērā apturētie maksājumi un ieturējumi no MPEK</t>
    </r>
  </si>
  <si>
    <t>Apstiprināti maksājumi 01.02.2024.-27.03.2024.</t>
  </si>
  <si>
    <t>Korekcijas</t>
  </si>
  <si>
    <t>CFLA apturētie maksājumi</t>
  </si>
  <si>
    <t>Ieturējumi no MPEK un KS (pārbaudes procesā)</t>
  </si>
  <si>
    <t>PV numurs</t>
  </si>
  <si>
    <t>Piešķīrums</t>
  </si>
  <si>
    <t>ES fondu likme</t>
  </si>
  <si>
    <t>Attiecināmie izdevumi</t>
  </si>
  <si>
    <t>Izmaksātais publiskais finansējums (ES+VB+VBDP). KNR 129.pants</t>
  </si>
  <si>
    <t>Pieprasīts EK</t>
  </si>
  <si>
    <t>Pieprasītais ES fondu finansējums</t>
  </si>
  <si>
    <t>Limits pieprasāmie (15% elastība)</t>
  </si>
  <si>
    <t>129. pants (rezerve)</t>
  </si>
  <si>
    <t>Limits pieprasāmie</t>
  </si>
  <si>
    <t>129. pants</t>
  </si>
  <si>
    <t>JNI/ESF</t>
  </si>
  <si>
    <t>R-EU ERAF</t>
  </si>
  <si>
    <t>R-EU ESF</t>
  </si>
  <si>
    <t>Kopā ERAF</t>
  </si>
  <si>
    <t>Kopā KF</t>
  </si>
  <si>
    <t>Kopā ESF</t>
  </si>
  <si>
    <t>Kopā JNI/ESF</t>
  </si>
  <si>
    <r>
      <t xml:space="preserve">Iesniegtie un plānotie </t>
    </r>
    <r>
      <rPr>
        <sz val="11"/>
        <color rgb="FFFF0000"/>
        <rFont val="Calibri"/>
        <family val="2"/>
        <charset val="186"/>
        <scheme val="minor"/>
      </rPr>
      <t>noslēguma</t>
    </r>
    <r>
      <rPr>
        <sz val="11"/>
        <color theme="1"/>
        <rFont val="Calibri"/>
        <family val="2"/>
        <scheme val="minor"/>
      </rPr>
      <t xml:space="preserve"> MP (bez apturētajiem)</t>
    </r>
  </si>
  <si>
    <r>
      <t xml:space="preserve">Iesniegtie un plānotie </t>
    </r>
    <r>
      <rPr>
        <sz val="11"/>
        <color rgb="FFFF0000"/>
        <rFont val="Calibri"/>
        <family val="2"/>
        <charset val="186"/>
        <scheme val="minor"/>
      </rPr>
      <t xml:space="preserve">starpposma </t>
    </r>
    <r>
      <rPr>
        <sz val="11"/>
        <color theme="1"/>
        <rFont val="Calibri"/>
        <family val="2"/>
        <scheme val="minor"/>
      </rPr>
      <t>MP (bez apturētajiem)</t>
    </r>
  </si>
  <si>
    <r>
      <t>Apstiprināti maksājumi 01.02.2024.-</t>
    </r>
    <r>
      <rPr>
        <sz val="11"/>
        <rFont val="Calibri"/>
        <family val="2"/>
        <charset val="186"/>
        <scheme val="minor"/>
      </rPr>
      <t>19.04.2024.</t>
    </r>
  </si>
  <si>
    <r>
      <t>Apstiprināti maksājumi 01.02.2024.-30</t>
    </r>
    <r>
      <rPr>
        <sz val="11"/>
        <rFont val="Calibri"/>
        <family val="2"/>
        <charset val="186"/>
        <scheme val="minor"/>
      </rPr>
      <t>.04.2024.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</si>
</sst>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A3EFA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/>
    <xf numFmtId="9" fontId="0" fillId="0" borderId="2" xfId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/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7" fillId="6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10" fillId="6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2" xr:uid="{DE9B8816-5609-4BE7-AD36-B30DE53596D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332190</xdr:colOff>
      <xdr:row>8</xdr:row>
      <xdr:rowOff>152214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72DA77-EEF8-A39D-6197-F3FFD4D3E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9476190" cy="148571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201C-2FD0-40ED-ABB7-17DEACBF499A}">
  <dimension ref="A2:M26"/>
  <sheetViews>
    <sheetView workbookViewId="0">
      <selection activeCell="I3" sqref="I3:I26"/>
    </sheetView>
  </sheetViews>
  <sheetFormatPr defaultRowHeight="15" x14ac:dyDescent="0.25"/>
  <cols>
    <col min="1" max="1" width="25.85546875" customWidth="1"/>
    <col min="2" max="2" width="10.85546875" customWidth="1"/>
    <col min="3" max="3" width="13.5703125" bestFit="1" customWidth="1"/>
    <col min="4" max="4" width="12.7109375" customWidth="1"/>
    <col min="5" max="7" width="14.85546875" customWidth="1"/>
    <col min="8" max="8" width="15.42578125" customWidth="1"/>
    <col min="9" max="9" width="16.28515625" customWidth="1"/>
    <col min="10" max="10" width="15.42578125" customWidth="1"/>
    <col min="13" max="13" width="13.140625" customWidth="1"/>
  </cols>
  <sheetData>
    <row r="2" spans="1:13" ht="6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3" x14ac:dyDescent="0.25">
      <c r="A3" s="1" t="s">
        <v>10</v>
      </c>
      <c r="B3" t="s">
        <v>11</v>
      </c>
      <c r="C3" s="3">
        <v>924670.98</v>
      </c>
      <c r="D3" s="3">
        <v>0</v>
      </c>
      <c r="E3" s="3"/>
      <c r="F3" s="3"/>
      <c r="G3" s="3"/>
      <c r="H3" s="3">
        <f>C3+D3+E3+G3+F3</f>
        <v>924670.98</v>
      </c>
      <c r="I3" s="3">
        <v>924670.98</v>
      </c>
      <c r="J3" s="3">
        <f>I3-H3</f>
        <v>0</v>
      </c>
      <c r="L3">
        <v>924670.98</v>
      </c>
      <c r="M3" s="3">
        <f>L3-I3</f>
        <v>0</v>
      </c>
    </row>
    <row r="4" spans="1:13" x14ac:dyDescent="0.25">
      <c r="A4" s="1" t="s">
        <v>10</v>
      </c>
      <c r="B4" t="s">
        <v>12</v>
      </c>
      <c r="C4" s="3">
        <v>16151447.589999998</v>
      </c>
      <c r="D4" s="3">
        <v>0</v>
      </c>
      <c r="E4" s="3"/>
      <c r="F4" s="3"/>
      <c r="G4" s="3"/>
      <c r="H4" s="3">
        <f t="shared" ref="H4:H26" si="0">C4+D4+E4+G4+F4</f>
        <v>16151447.589999998</v>
      </c>
      <c r="I4" s="3">
        <v>16151447.59</v>
      </c>
      <c r="J4" s="3">
        <f t="shared" ref="J4:J26" si="1">I4-H4</f>
        <v>0</v>
      </c>
      <c r="L4">
        <v>16151447.589999998</v>
      </c>
      <c r="M4" s="3">
        <f t="shared" ref="M4:M26" si="2">L4-I4</f>
        <v>0</v>
      </c>
    </row>
    <row r="5" spans="1:13" x14ac:dyDescent="0.25">
      <c r="A5" s="2" t="s">
        <v>10</v>
      </c>
      <c r="B5" t="s">
        <v>13</v>
      </c>
      <c r="C5" s="3">
        <v>88189436.589999989</v>
      </c>
      <c r="D5" s="3">
        <v>0</v>
      </c>
      <c r="E5" s="3"/>
      <c r="F5" s="3"/>
      <c r="G5" s="3"/>
      <c r="H5" s="3">
        <f t="shared" si="0"/>
        <v>88189436.589999989</v>
      </c>
      <c r="I5" s="3">
        <v>88189436.590000004</v>
      </c>
      <c r="J5" s="3">
        <f t="shared" si="1"/>
        <v>0</v>
      </c>
      <c r="L5">
        <v>88189436.589999989</v>
      </c>
      <c r="M5" s="3">
        <f t="shared" si="2"/>
        <v>0</v>
      </c>
    </row>
    <row r="6" spans="1:13" x14ac:dyDescent="0.25">
      <c r="A6" s="1" t="s">
        <v>14</v>
      </c>
      <c r="B6" t="s">
        <v>11</v>
      </c>
      <c r="C6" s="3">
        <v>136961253.28000009</v>
      </c>
      <c r="D6" s="3">
        <v>-1537.8100000000002</v>
      </c>
      <c r="E6" s="3"/>
      <c r="F6" s="3"/>
      <c r="G6" s="3">
        <v>-672</v>
      </c>
      <c r="H6" s="3">
        <f t="shared" si="0"/>
        <v>136959043.47000009</v>
      </c>
      <c r="I6" s="3">
        <v>136959043.47</v>
      </c>
      <c r="J6" s="3">
        <f t="shared" si="1"/>
        <v>0</v>
      </c>
      <c r="L6">
        <v>136959043.47000012</v>
      </c>
      <c r="M6" s="3">
        <f t="shared" si="2"/>
        <v>0</v>
      </c>
    </row>
    <row r="7" spans="1:13" x14ac:dyDescent="0.25">
      <c r="A7" s="1" t="s">
        <v>14</v>
      </c>
      <c r="B7" t="s">
        <v>12</v>
      </c>
      <c r="C7" s="3">
        <v>50202152.949999966</v>
      </c>
      <c r="D7" s="3">
        <v>-35489.929999999993</v>
      </c>
      <c r="E7" s="3"/>
      <c r="F7" s="3"/>
      <c r="G7" s="3">
        <v>-1126.2</v>
      </c>
      <c r="H7" s="3">
        <f t="shared" si="0"/>
        <v>50165536.819999963</v>
      </c>
      <c r="I7" s="3">
        <v>50165536.82</v>
      </c>
      <c r="J7" s="3">
        <f t="shared" si="1"/>
        <v>0</v>
      </c>
      <c r="L7">
        <v>50165536.819999985</v>
      </c>
      <c r="M7" s="3">
        <f t="shared" si="2"/>
        <v>0</v>
      </c>
    </row>
    <row r="8" spans="1:13" x14ac:dyDescent="0.25">
      <c r="A8" s="2" t="s">
        <v>14</v>
      </c>
      <c r="B8" t="s">
        <v>13</v>
      </c>
      <c r="C8" s="3">
        <v>51223907.860000007</v>
      </c>
      <c r="D8" s="3">
        <v>-742.96</v>
      </c>
      <c r="E8" s="3"/>
      <c r="F8" s="3"/>
      <c r="G8" s="3">
        <v>-140</v>
      </c>
      <c r="H8" s="3">
        <f t="shared" si="0"/>
        <v>51223024.900000006</v>
      </c>
      <c r="I8" s="3">
        <v>51223024.899999999</v>
      </c>
      <c r="J8" s="3">
        <f t="shared" si="1"/>
        <v>0</v>
      </c>
      <c r="L8">
        <v>51223024.900000006</v>
      </c>
      <c r="M8" s="3">
        <f t="shared" si="2"/>
        <v>0</v>
      </c>
    </row>
    <row r="9" spans="1:13" x14ac:dyDescent="0.25">
      <c r="A9" s="1" t="s">
        <v>15</v>
      </c>
      <c r="B9" t="s">
        <v>11</v>
      </c>
      <c r="C9" s="3">
        <v>126757686.2500001</v>
      </c>
      <c r="D9" s="3">
        <v>-185229.78</v>
      </c>
      <c r="E9" s="3">
        <v>-6665.95</v>
      </c>
      <c r="F9" s="3"/>
      <c r="G9" s="3">
        <v>-10316.16</v>
      </c>
      <c r="H9" s="3">
        <f t="shared" si="0"/>
        <v>126555474.3600001</v>
      </c>
      <c r="I9" s="3">
        <v>126555474.36</v>
      </c>
      <c r="J9" s="3">
        <f t="shared" si="1"/>
        <v>0</v>
      </c>
      <c r="L9">
        <v>126555474.3600001</v>
      </c>
      <c r="M9" s="3">
        <f t="shared" si="2"/>
        <v>0</v>
      </c>
    </row>
    <row r="10" spans="1:13" x14ac:dyDescent="0.25">
      <c r="A10" s="1" t="s">
        <v>15</v>
      </c>
      <c r="B10" t="s">
        <v>12</v>
      </c>
      <c r="C10" s="3">
        <v>56581220.930000044</v>
      </c>
      <c r="D10" s="3">
        <v>-12577.800000000001</v>
      </c>
      <c r="E10" s="3"/>
      <c r="F10" s="3"/>
      <c r="G10" s="3">
        <v>-11322.35</v>
      </c>
      <c r="H10" s="3">
        <f t="shared" si="0"/>
        <v>56557320.780000046</v>
      </c>
      <c r="I10" s="3">
        <v>56557320.780000001</v>
      </c>
      <c r="J10" s="3">
        <f t="shared" si="1"/>
        <v>0</v>
      </c>
      <c r="L10">
        <v>56557320.780000046</v>
      </c>
      <c r="M10" s="3">
        <f t="shared" si="2"/>
        <v>0</v>
      </c>
    </row>
    <row r="11" spans="1:13" x14ac:dyDescent="0.25">
      <c r="A11" s="2" t="s">
        <v>15</v>
      </c>
      <c r="B11" t="s">
        <v>13</v>
      </c>
      <c r="C11" s="3">
        <v>74207734.470000014</v>
      </c>
      <c r="D11" s="3">
        <v>-972863.91999999993</v>
      </c>
      <c r="E11" s="3"/>
      <c r="F11" s="3"/>
      <c r="G11" s="3">
        <v>-16076.15</v>
      </c>
      <c r="H11" s="3">
        <f t="shared" si="0"/>
        <v>73218794.400000006</v>
      </c>
      <c r="I11" s="3">
        <v>73218794.400000006</v>
      </c>
      <c r="J11" s="3">
        <f t="shared" si="1"/>
        <v>0</v>
      </c>
      <c r="L11">
        <v>73218794.400000006</v>
      </c>
      <c r="M11" s="3">
        <f t="shared" si="2"/>
        <v>0</v>
      </c>
    </row>
    <row r="12" spans="1:13" x14ac:dyDescent="0.25">
      <c r="A12" s="1" t="s">
        <v>16</v>
      </c>
      <c r="B12" t="s">
        <v>11</v>
      </c>
      <c r="C12" s="3">
        <v>500114047.20000023</v>
      </c>
      <c r="D12" s="3">
        <v>-349526.78</v>
      </c>
      <c r="E12" s="3">
        <v>6665.95</v>
      </c>
      <c r="F12" s="3"/>
      <c r="G12" s="3">
        <v>-891467.05000000016</v>
      </c>
      <c r="H12" s="3">
        <f t="shared" si="0"/>
        <v>498879719.32000023</v>
      </c>
      <c r="I12" s="3">
        <v>498879719.31999999</v>
      </c>
      <c r="J12" s="3">
        <f t="shared" si="1"/>
        <v>0</v>
      </c>
      <c r="L12">
        <v>498879719.32000023</v>
      </c>
      <c r="M12" s="3">
        <f t="shared" si="2"/>
        <v>0</v>
      </c>
    </row>
    <row r="13" spans="1:13" x14ac:dyDescent="0.25">
      <c r="A13" s="1" t="s">
        <v>16</v>
      </c>
      <c r="B13" t="s">
        <v>12</v>
      </c>
      <c r="C13" s="3">
        <v>110572022.4599998</v>
      </c>
      <c r="D13" s="3">
        <v>-1106.78</v>
      </c>
      <c r="E13" s="3"/>
      <c r="F13" s="3"/>
      <c r="G13" s="3">
        <v>-11550.949999999999</v>
      </c>
      <c r="H13" s="3">
        <f t="shared" si="0"/>
        <v>110559364.7299998</v>
      </c>
      <c r="I13" s="3">
        <v>110559364.73</v>
      </c>
      <c r="J13" s="3">
        <f t="shared" si="1"/>
        <v>2.0861625671386719E-7</v>
      </c>
      <c r="L13">
        <v>110559364.72999978</v>
      </c>
      <c r="M13" s="3">
        <f t="shared" si="2"/>
        <v>-2.2351741790771484E-7</v>
      </c>
    </row>
    <row r="14" spans="1:13" x14ac:dyDescent="0.25">
      <c r="A14" s="2" t="s">
        <v>16</v>
      </c>
      <c r="B14" t="s">
        <v>13</v>
      </c>
      <c r="C14" s="3">
        <v>158686746.33999994</v>
      </c>
      <c r="D14" s="3">
        <v>-232772.65999999997</v>
      </c>
      <c r="E14" s="3"/>
      <c r="F14" s="3"/>
      <c r="G14" s="3">
        <v>-53530.81</v>
      </c>
      <c r="H14" s="3">
        <f t="shared" si="0"/>
        <v>158400442.86999995</v>
      </c>
      <c r="I14" s="3">
        <v>158400442.87</v>
      </c>
      <c r="J14" s="3">
        <f t="shared" si="1"/>
        <v>0</v>
      </c>
      <c r="L14">
        <v>158400442.86999995</v>
      </c>
      <c r="M14" s="3">
        <f t="shared" si="2"/>
        <v>0</v>
      </c>
    </row>
    <row r="15" spans="1:13" x14ac:dyDescent="0.25">
      <c r="A15" s="1" t="s">
        <v>17</v>
      </c>
      <c r="B15" t="s">
        <v>11</v>
      </c>
      <c r="C15" s="3">
        <v>331998813.80999976</v>
      </c>
      <c r="D15" s="3">
        <v>-264148.43</v>
      </c>
      <c r="E15" s="3"/>
      <c r="F15" s="3"/>
      <c r="G15" s="3">
        <v>-120861.63</v>
      </c>
      <c r="H15" s="3">
        <f t="shared" si="0"/>
        <v>331613803.74999976</v>
      </c>
      <c r="I15" s="3">
        <v>331613803.75</v>
      </c>
      <c r="J15" s="3">
        <f t="shared" si="1"/>
        <v>0</v>
      </c>
      <c r="L15">
        <v>331613803.75</v>
      </c>
      <c r="M15" s="3">
        <f t="shared" si="2"/>
        <v>0</v>
      </c>
    </row>
    <row r="16" spans="1:13" x14ac:dyDescent="0.25">
      <c r="A16" s="1" t="s">
        <v>17</v>
      </c>
      <c r="B16" t="s">
        <v>12</v>
      </c>
      <c r="C16" s="3">
        <v>75348311.519999892</v>
      </c>
      <c r="D16" s="3">
        <v>-57287.30999999999</v>
      </c>
      <c r="E16" s="3"/>
      <c r="F16" s="3"/>
      <c r="G16" s="3">
        <v>-722.12</v>
      </c>
      <c r="H16" s="3">
        <f t="shared" si="0"/>
        <v>75290302.089999884</v>
      </c>
      <c r="I16" s="3">
        <v>75290302.090000004</v>
      </c>
      <c r="J16" s="3">
        <f t="shared" si="1"/>
        <v>1.1920928955078125E-7</v>
      </c>
      <c r="L16">
        <v>75290302.089999899</v>
      </c>
      <c r="M16" s="3">
        <f t="shared" si="2"/>
        <v>0</v>
      </c>
    </row>
    <row r="17" spans="1:13" x14ac:dyDescent="0.25">
      <c r="A17" s="2" t="s">
        <v>17</v>
      </c>
      <c r="B17" t="s">
        <v>13</v>
      </c>
      <c r="C17" s="3">
        <v>114485245.92999996</v>
      </c>
      <c r="D17" s="3">
        <v>-82214.760000000009</v>
      </c>
      <c r="E17" s="3"/>
      <c r="F17" s="3"/>
      <c r="G17" s="3">
        <v>-134793.66999999998</v>
      </c>
      <c r="H17" s="3">
        <f t="shared" si="0"/>
        <v>114268237.49999996</v>
      </c>
      <c r="I17" s="3">
        <v>114268237.5</v>
      </c>
      <c r="J17" s="3">
        <f t="shared" si="1"/>
        <v>0</v>
      </c>
      <c r="L17">
        <v>114268237.49999999</v>
      </c>
      <c r="M17" s="3">
        <f t="shared" si="2"/>
        <v>0</v>
      </c>
    </row>
    <row r="18" spans="1:13" x14ac:dyDescent="0.25">
      <c r="A18" s="1" t="s">
        <v>18</v>
      </c>
      <c r="B18" t="s">
        <v>11</v>
      </c>
      <c r="C18" s="3">
        <v>495316600.49999964</v>
      </c>
      <c r="D18" s="3">
        <v>-3311855.4</v>
      </c>
      <c r="E18" s="3"/>
      <c r="F18" s="3">
        <v>-406000</v>
      </c>
      <c r="G18" s="3">
        <v>-1100420.5799999998</v>
      </c>
      <c r="H18" s="3">
        <f t="shared" si="0"/>
        <v>490498324.51999968</v>
      </c>
      <c r="I18" s="3">
        <v>490498324.51999998</v>
      </c>
      <c r="J18" s="3">
        <f t="shared" si="1"/>
        <v>0</v>
      </c>
      <c r="L18">
        <v>490498324.5199995</v>
      </c>
      <c r="M18" s="3">
        <f t="shared" si="2"/>
        <v>-4.76837158203125E-7</v>
      </c>
    </row>
    <row r="19" spans="1:13" x14ac:dyDescent="0.25">
      <c r="A19" s="1" t="s">
        <v>18</v>
      </c>
      <c r="B19" t="s">
        <v>12</v>
      </c>
      <c r="C19" s="3">
        <v>115146048.41000001</v>
      </c>
      <c r="D19" s="3">
        <v>-132735.62</v>
      </c>
      <c r="E19" s="3"/>
      <c r="F19" s="3"/>
      <c r="G19" s="3">
        <v>-107575.52</v>
      </c>
      <c r="H19" s="3">
        <f t="shared" si="0"/>
        <v>114905737.27000001</v>
      </c>
      <c r="I19" s="3">
        <v>114905737.27</v>
      </c>
      <c r="J19" s="3">
        <f t="shared" si="1"/>
        <v>0</v>
      </c>
      <c r="L19">
        <v>114905737.27000004</v>
      </c>
      <c r="M19" s="3">
        <f t="shared" si="2"/>
        <v>0</v>
      </c>
    </row>
    <row r="20" spans="1:13" x14ac:dyDescent="0.25">
      <c r="A20" s="2" t="s">
        <v>18</v>
      </c>
      <c r="B20" t="s">
        <v>13</v>
      </c>
      <c r="C20" s="3">
        <v>197754172.25000006</v>
      </c>
      <c r="D20" s="3">
        <v>-3127.55</v>
      </c>
      <c r="E20" s="3"/>
      <c r="F20" s="3"/>
      <c r="G20" s="3">
        <v>-954320.04000000015</v>
      </c>
      <c r="H20" s="3">
        <f t="shared" si="0"/>
        <v>196796724.66000006</v>
      </c>
      <c r="I20" s="3">
        <v>196796724.66</v>
      </c>
      <c r="J20" s="3">
        <f t="shared" si="1"/>
        <v>0</v>
      </c>
      <c r="L20">
        <v>196796724.66000006</v>
      </c>
      <c r="M20" s="3">
        <f t="shared" si="2"/>
        <v>0</v>
      </c>
    </row>
    <row r="21" spans="1:13" x14ac:dyDescent="0.25">
      <c r="A21" s="1" t="s">
        <v>19</v>
      </c>
      <c r="B21" t="s">
        <v>11</v>
      </c>
      <c r="C21" s="3">
        <v>453787778.97999996</v>
      </c>
      <c r="D21" s="3">
        <v>-733801.05</v>
      </c>
      <c r="E21" s="3">
        <v>-2578958.9299999997</v>
      </c>
      <c r="F21" s="3"/>
      <c r="G21" s="3">
        <v>-18065871.969999999</v>
      </c>
      <c r="H21" s="3">
        <f t="shared" si="0"/>
        <v>432409147.02999997</v>
      </c>
      <c r="I21" s="3">
        <v>432409147.02999997</v>
      </c>
      <c r="J21" s="3">
        <f t="shared" si="1"/>
        <v>0</v>
      </c>
      <c r="L21">
        <v>432409147.03000009</v>
      </c>
      <c r="M21" s="3">
        <f t="shared" si="2"/>
        <v>0</v>
      </c>
    </row>
    <row r="22" spans="1:13" x14ac:dyDescent="0.25">
      <c r="A22" s="1" t="s">
        <v>19</v>
      </c>
      <c r="B22" t="s">
        <v>12</v>
      </c>
      <c r="C22" s="3">
        <v>107518527.37000005</v>
      </c>
      <c r="D22" s="3">
        <v>-171368.24000000002</v>
      </c>
      <c r="E22" s="3">
        <v>195.24</v>
      </c>
      <c r="F22" s="3"/>
      <c r="G22" s="3">
        <v>-49113.070000000007</v>
      </c>
      <c r="H22" s="3">
        <f t="shared" si="0"/>
        <v>107298241.30000006</v>
      </c>
      <c r="I22" s="3">
        <v>107298241.3</v>
      </c>
      <c r="J22" s="3">
        <f t="shared" si="1"/>
        <v>0</v>
      </c>
      <c r="L22">
        <v>107298241.30000004</v>
      </c>
      <c r="M22" s="3">
        <f t="shared" si="2"/>
        <v>0</v>
      </c>
    </row>
    <row r="23" spans="1:13" x14ac:dyDescent="0.25">
      <c r="A23" s="2" t="s">
        <v>19</v>
      </c>
      <c r="B23" t="s">
        <v>13</v>
      </c>
      <c r="C23" s="3">
        <v>120392201.15000008</v>
      </c>
      <c r="D23" s="3">
        <v>-69810.259999999995</v>
      </c>
      <c r="E23" s="3"/>
      <c r="F23" s="3"/>
      <c r="G23" s="3">
        <v>-1747314.96</v>
      </c>
      <c r="H23" s="3">
        <f t="shared" si="0"/>
        <v>118575075.93000008</v>
      </c>
      <c r="I23" s="3">
        <v>118575075.93000001</v>
      </c>
      <c r="J23" s="3">
        <f t="shared" si="1"/>
        <v>0</v>
      </c>
      <c r="L23">
        <v>118575075.93000008</v>
      </c>
      <c r="M23" s="3">
        <f t="shared" si="2"/>
        <v>0</v>
      </c>
    </row>
    <row r="24" spans="1:13" x14ac:dyDescent="0.25">
      <c r="A24" s="1" t="s">
        <v>20</v>
      </c>
      <c r="B24" t="s">
        <v>11</v>
      </c>
      <c r="C24" s="3">
        <v>343265157.02999997</v>
      </c>
      <c r="D24" s="3">
        <v>-454993.24999999994</v>
      </c>
      <c r="E24" s="3"/>
      <c r="F24" s="3"/>
      <c r="G24" s="3">
        <v>-6227362.6900000013</v>
      </c>
      <c r="H24" s="3">
        <f t="shared" si="0"/>
        <v>336582801.08999997</v>
      </c>
      <c r="I24" s="3">
        <v>336582801.08999997</v>
      </c>
      <c r="J24" s="3">
        <f t="shared" si="1"/>
        <v>0</v>
      </c>
      <c r="L24">
        <v>336582801.09000063</v>
      </c>
      <c r="M24" s="3">
        <f t="shared" si="2"/>
        <v>6.5565109252929688E-7</v>
      </c>
    </row>
    <row r="25" spans="1:13" x14ac:dyDescent="0.25">
      <c r="A25" s="1" t="s">
        <v>20</v>
      </c>
      <c r="B25" t="s">
        <v>12</v>
      </c>
      <c r="C25" s="3">
        <v>127225094.13999999</v>
      </c>
      <c r="D25" s="3">
        <v>-27190.98</v>
      </c>
      <c r="E25" s="3"/>
      <c r="F25" s="3"/>
      <c r="G25" s="3">
        <v>-74257.780000000013</v>
      </c>
      <c r="H25" s="3">
        <f t="shared" si="0"/>
        <v>127123645.37999998</v>
      </c>
      <c r="I25" s="3">
        <v>127123645.38</v>
      </c>
      <c r="J25" s="3">
        <f t="shared" si="1"/>
        <v>0</v>
      </c>
      <c r="L25">
        <v>127123645.38</v>
      </c>
      <c r="M25" s="3">
        <f t="shared" si="2"/>
        <v>0</v>
      </c>
    </row>
    <row r="26" spans="1:13" x14ac:dyDescent="0.25">
      <c r="A26" s="2" t="s">
        <v>20</v>
      </c>
      <c r="B26" t="s">
        <v>13</v>
      </c>
      <c r="C26" s="3">
        <v>132574953.75000001</v>
      </c>
      <c r="D26" s="3">
        <v>-861253.82000000007</v>
      </c>
      <c r="E26" s="3"/>
      <c r="F26" s="3"/>
      <c r="G26" s="3">
        <v>-10269664.030000001</v>
      </c>
      <c r="H26" s="3">
        <f t="shared" si="0"/>
        <v>121444035.90000002</v>
      </c>
      <c r="I26" s="3">
        <v>121444035.90000001</v>
      </c>
      <c r="J26" s="3">
        <f t="shared" si="1"/>
        <v>0</v>
      </c>
      <c r="L26">
        <v>121444035.89999996</v>
      </c>
      <c r="M26" s="3">
        <f t="shared" si="2"/>
        <v>0</v>
      </c>
    </row>
  </sheetData>
  <autoFilter ref="A2:J26" xr:uid="{65CE201C-2FD0-40ED-ABB7-17DEACBF499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E147-9913-4FCE-B50F-653B3F56EECA}">
  <sheetPr>
    <tabColor rgb="FFFFFF00"/>
  </sheetPr>
  <dimension ref="A1:AL4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" sqref="B2"/>
    </sheetView>
  </sheetViews>
  <sheetFormatPr defaultRowHeight="15" outlineLevelCol="1" x14ac:dyDescent="0.25"/>
  <cols>
    <col min="1" max="1" width="12.28515625" customWidth="1"/>
    <col min="2" max="2" width="11.85546875" customWidth="1"/>
    <col min="3" max="4" width="13.85546875" customWidth="1"/>
    <col min="5" max="5" width="18.42578125" customWidth="1" outlineLevel="1"/>
    <col min="6" max="6" width="26.7109375" customWidth="1" outlineLevel="1"/>
    <col min="7" max="7" width="20" customWidth="1" outlineLevel="1"/>
    <col min="8" max="8" width="16.85546875" customWidth="1" outlineLevel="1"/>
    <col min="9" max="9" width="27" customWidth="1" outlineLevel="1"/>
    <col min="10" max="10" width="17.140625" customWidth="1" outlineLevel="1"/>
    <col min="11" max="11" width="20.5703125" customWidth="1" outlineLevel="1" collapsed="1"/>
    <col min="12" max="12" width="31.28515625" customWidth="1" outlineLevel="1"/>
    <col min="13" max="13" width="21.5703125" customWidth="1" outlineLevel="1"/>
    <col min="14" max="14" width="28.42578125" customWidth="1" outlineLevel="1"/>
    <col min="15" max="15" width="23.42578125" customWidth="1" outlineLevel="1"/>
    <col min="16" max="16" width="26.140625" customWidth="1" outlineLevel="1"/>
    <col min="17" max="18" width="16.28515625" customWidth="1" outlineLevel="1"/>
    <col min="19" max="19" width="24.140625" customWidth="1" outlineLevel="1"/>
    <col min="20" max="20" width="28.7109375" customWidth="1" outlineLevel="1"/>
    <col min="21" max="21" width="23.140625" customWidth="1" outlineLevel="1"/>
    <col min="22" max="26" width="27.85546875" customWidth="1" outlineLevel="1"/>
    <col min="27" max="29" width="25.85546875" customWidth="1"/>
    <col min="30" max="31" width="27.85546875" customWidth="1"/>
    <col min="32" max="34" width="23.42578125" hidden="1" customWidth="1" outlineLevel="1"/>
    <col min="35" max="36" width="27.140625" hidden="1" customWidth="1" outlineLevel="1"/>
    <col min="37" max="37" width="22.7109375" bestFit="1" customWidth="1" collapsed="1"/>
    <col min="38" max="38" width="22.7109375" bestFit="1" customWidth="1"/>
  </cols>
  <sheetData>
    <row r="1" spans="1:38" x14ac:dyDescent="0.25">
      <c r="E1" s="36" t="s">
        <v>21</v>
      </c>
      <c r="F1" s="37"/>
      <c r="G1" s="38"/>
      <c r="H1" s="45" t="s">
        <v>22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2"/>
      <c r="X1" s="12"/>
      <c r="Y1" s="12"/>
      <c r="Z1" s="12"/>
    </row>
    <row r="2" spans="1:38" ht="15" customHeight="1" x14ac:dyDescent="0.25">
      <c r="E2" s="39"/>
      <c r="F2" s="40"/>
      <c r="G2" s="41"/>
      <c r="H2" s="36" t="s">
        <v>23</v>
      </c>
      <c r="I2" s="37"/>
      <c r="J2" s="38"/>
      <c r="K2" s="45" t="s">
        <v>24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6"/>
      <c r="X2" s="36" t="s">
        <v>25</v>
      </c>
      <c r="Y2" s="37"/>
      <c r="Z2" s="38"/>
      <c r="AA2" s="47" t="s">
        <v>26</v>
      </c>
      <c r="AB2" s="48"/>
      <c r="AC2" s="48"/>
      <c r="AD2" s="48"/>
      <c r="AE2" s="52"/>
      <c r="AF2" s="46" t="s">
        <v>27</v>
      </c>
      <c r="AG2" s="46"/>
      <c r="AH2" s="46"/>
      <c r="AI2" s="46"/>
      <c r="AJ2" s="46"/>
    </row>
    <row r="3" spans="1:38" ht="38.25" customHeight="1" x14ac:dyDescent="0.25">
      <c r="E3" s="42"/>
      <c r="F3" s="43"/>
      <c r="G3" s="44"/>
      <c r="H3" s="42"/>
      <c r="I3" s="43"/>
      <c r="J3" s="44"/>
      <c r="K3" s="46" t="s">
        <v>53</v>
      </c>
      <c r="L3" s="46"/>
      <c r="M3" s="47" t="s">
        <v>50</v>
      </c>
      <c r="N3" s="48"/>
      <c r="O3" s="46" t="s">
        <v>51</v>
      </c>
      <c r="P3" s="46"/>
      <c r="Q3" s="49" t="s">
        <v>29</v>
      </c>
      <c r="R3" s="50"/>
      <c r="S3" s="51" t="s">
        <v>30</v>
      </c>
      <c r="T3" s="51"/>
      <c r="U3" s="51" t="s">
        <v>31</v>
      </c>
      <c r="V3" s="51"/>
      <c r="W3" s="15"/>
      <c r="X3" s="42"/>
      <c r="Y3" s="43"/>
      <c r="Z3" s="44"/>
      <c r="AA3" s="53"/>
      <c r="AB3" s="54"/>
      <c r="AC3" s="54"/>
      <c r="AD3" s="54"/>
      <c r="AE3" s="55"/>
      <c r="AF3" s="46"/>
      <c r="AG3" s="46"/>
      <c r="AH3" s="46"/>
      <c r="AI3" s="46"/>
      <c r="AJ3" s="46"/>
    </row>
    <row r="4" spans="1:38" ht="75" x14ac:dyDescent="0.25">
      <c r="A4" s="5" t="s">
        <v>32</v>
      </c>
      <c r="B4" s="5" t="s">
        <v>1</v>
      </c>
      <c r="C4" s="6" t="s">
        <v>33</v>
      </c>
      <c r="D4" s="6" t="s">
        <v>34</v>
      </c>
      <c r="E4" s="6" t="s">
        <v>35</v>
      </c>
      <c r="F4" s="6" t="s">
        <v>36</v>
      </c>
      <c r="G4" s="6" t="s">
        <v>37</v>
      </c>
      <c r="H4" s="6" t="s">
        <v>35</v>
      </c>
      <c r="I4" s="6" t="s">
        <v>36</v>
      </c>
      <c r="J4" s="6" t="s">
        <v>37</v>
      </c>
      <c r="K4" s="6" t="s">
        <v>35</v>
      </c>
      <c r="L4" s="6" t="s">
        <v>36</v>
      </c>
      <c r="M4" s="6" t="s">
        <v>35</v>
      </c>
      <c r="N4" s="6" t="s">
        <v>36</v>
      </c>
      <c r="O4" s="6" t="s">
        <v>35</v>
      </c>
      <c r="P4" s="6" t="s">
        <v>36</v>
      </c>
      <c r="Q4" s="6" t="s">
        <v>35</v>
      </c>
      <c r="R4" s="6" t="s">
        <v>36</v>
      </c>
      <c r="S4" s="6" t="s">
        <v>35</v>
      </c>
      <c r="T4" s="6" t="s">
        <v>36</v>
      </c>
      <c r="U4" s="6" t="s">
        <v>35</v>
      </c>
      <c r="V4" s="6" t="s">
        <v>36</v>
      </c>
      <c r="W4" s="6"/>
      <c r="X4" s="6" t="s">
        <v>35</v>
      </c>
      <c r="Y4" s="6" t="s">
        <v>38</v>
      </c>
      <c r="Z4" s="6" t="s">
        <v>36</v>
      </c>
      <c r="AA4" s="6" t="s">
        <v>35</v>
      </c>
      <c r="AB4" s="6" t="s">
        <v>38</v>
      </c>
      <c r="AC4" s="6" t="s">
        <v>39</v>
      </c>
      <c r="AD4" s="6" t="s">
        <v>36</v>
      </c>
      <c r="AE4" s="6" t="s">
        <v>40</v>
      </c>
      <c r="AF4" s="14" t="s">
        <v>35</v>
      </c>
      <c r="AG4" s="14" t="s">
        <v>38</v>
      </c>
      <c r="AH4" s="14" t="s">
        <v>41</v>
      </c>
      <c r="AI4" s="14" t="s">
        <v>36</v>
      </c>
      <c r="AJ4" s="6" t="s">
        <v>42</v>
      </c>
    </row>
    <row r="5" spans="1:38" x14ac:dyDescent="0.25">
      <c r="A5" s="5">
        <v>1</v>
      </c>
      <c r="B5" s="5">
        <v>2</v>
      </c>
      <c r="C5" s="6">
        <v>3</v>
      </c>
      <c r="D5" s="6">
        <v>4</v>
      </c>
      <c r="E5" s="6">
        <v>5</v>
      </c>
      <c r="F5" s="5">
        <v>6</v>
      </c>
      <c r="G5" s="5">
        <v>7</v>
      </c>
      <c r="H5" s="6">
        <v>8</v>
      </c>
      <c r="I5" s="6">
        <v>9</v>
      </c>
      <c r="J5" s="6">
        <v>10</v>
      </c>
      <c r="K5" s="35">
        <v>11</v>
      </c>
      <c r="L5" s="35">
        <v>12</v>
      </c>
      <c r="M5" s="33">
        <v>13</v>
      </c>
      <c r="N5" s="33">
        <v>14</v>
      </c>
      <c r="O5" s="33">
        <v>15</v>
      </c>
      <c r="P5" s="34">
        <v>16</v>
      </c>
      <c r="Q5" s="34">
        <v>17</v>
      </c>
      <c r="R5" s="33">
        <v>18</v>
      </c>
      <c r="S5" s="33">
        <v>19</v>
      </c>
      <c r="T5" s="33">
        <v>20</v>
      </c>
      <c r="U5" s="6">
        <v>21</v>
      </c>
      <c r="V5" s="6">
        <v>22</v>
      </c>
      <c r="W5" s="6">
        <v>23</v>
      </c>
      <c r="X5" s="6">
        <v>24</v>
      </c>
      <c r="Y5" s="6">
        <v>25</v>
      </c>
      <c r="Z5" s="5">
        <v>26</v>
      </c>
      <c r="AA5" s="5">
        <v>27</v>
      </c>
      <c r="AB5" s="6">
        <v>28</v>
      </c>
      <c r="AC5" s="6">
        <v>29</v>
      </c>
      <c r="AD5" s="6">
        <v>30</v>
      </c>
      <c r="AE5" s="20">
        <v>31</v>
      </c>
      <c r="AF5" s="5">
        <v>32</v>
      </c>
      <c r="AG5" s="6">
        <v>33</v>
      </c>
      <c r="AH5" s="6">
        <v>34</v>
      </c>
      <c r="AI5" s="6">
        <v>35</v>
      </c>
      <c r="AJ5" s="5">
        <v>36</v>
      </c>
    </row>
    <row r="6" spans="1:38" x14ac:dyDescent="0.25">
      <c r="A6" s="5">
        <v>1</v>
      </c>
      <c r="B6" s="5" t="s">
        <v>11</v>
      </c>
      <c r="C6" s="7">
        <v>448221139</v>
      </c>
      <c r="D6" s="9">
        <v>0.84999999848289176</v>
      </c>
      <c r="E6" s="7">
        <v>443820294.52000004</v>
      </c>
      <c r="F6" s="7">
        <v>341805605.99999958</v>
      </c>
      <c r="G6" s="7">
        <v>377265677.8879903</v>
      </c>
      <c r="H6" s="7">
        <v>59296491.64000006</v>
      </c>
      <c r="I6" s="7">
        <v>50993223.610000037</v>
      </c>
      <c r="J6" s="7">
        <f>H6*D6</f>
        <v>50402017.804040857</v>
      </c>
      <c r="K6" s="26">
        <v>19865250.879999992</v>
      </c>
      <c r="L6" s="26">
        <v>16175695.219999999</v>
      </c>
      <c r="M6" s="26">
        <v>0</v>
      </c>
      <c r="N6" s="26">
        <v>0</v>
      </c>
      <c r="O6" s="26">
        <v>30742.38</v>
      </c>
      <c r="P6" s="26">
        <v>9196</v>
      </c>
      <c r="Q6" s="31"/>
      <c r="R6" s="31"/>
      <c r="S6" s="26">
        <v>8227765.7000000002</v>
      </c>
      <c r="T6" s="26">
        <v>7416643.2499999991</v>
      </c>
      <c r="U6" s="7">
        <v>81897348</v>
      </c>
      <c r="V6" s="7">
        <v>46270749</v>
      </c>
      <c r="W6" s="7">
        <f t="shared" ref="W6:W27" si="0">(U6+S6)*D6</f>
        <v>76606346.508270457</v>
      </c>
      <c r="X6" s="7">
        <f t="shared" ref="X6:X27" si="1">E6+H6</f>
        <v>503116786.16000009</v>
      </c>
      <c r="Y6" s="7">
        <f t="shared" ref="Y6:Y27" si="2">G6+J6</f>
        <v>427667695.69203115</v>
      </c>
      <c r="Z6" s="7">
        <f t="shared" ref="Z6:Z27" si="3">F6+I6</f>
        <v>392798829.6099996</v>
      </c>
      <c r="AA6" s="7">
        <f>E6+H6+K6+M6+O6+Q6</f>
        <v>523012779.42000008</v>
      </c>
      <c r="AB6" s="7">
        <f>G6+J6+((K6+M6+O6+Q6)*D6)</f>
        <v>444579289.93284678</v>
      </c>
      <c r="AC6" s="7">
        <f>MIN(AB6,C6*1.15)</f>
        <v>444579289.93284678</v>
      </c>
      <c r="AD6" s="7">
        <f t="shared" ref="AD6:AD27" si="4">F6+I6+L6+N6+P6+R6</f>
        <v>408983720.82999957</v>
      </c>
      <c r="AE6" s="17"/>
      <c r="AF6" s="7">
        <f t="shared" ref="AF6:AF27" si="5">E6+H6+K6+M6+O6+Q6</f>
        <v>523012779.42000008</v>
      </c>
      <c r="AG6" s="7">
        <f t="shared" ref="AG6:AG27" si="6">G6+J6+((K6+M6+O6+Q6)*100%)</f>
        <v>447563688.95203114</v>
      </c>
      <c r="AH6" s="7">
        <f t="shared" ref="AH6:AH27" si="7">MIN(AG6,C6*1.15)</f>
        <v>447563688.95203114</v>
      </c>
      <c r="AI6" s="7">
        <f t="shared" ref="AI6:AI27" si="8">F6+I6+L6+N6+P6+R6</f>
        <v>408983720.82999957</v>
      </c>
      <c r="AJ6" s="7"/>
      <c r="AK6" s="13"/>
      <c r="AL6" s="13"/>
    </row>
    <row r="7" spans="1:38" x14ac:dyDescent="0.25">
      <c r="A7" s="5">
        <v>2</v>
      </c>
      <c r="B7" s="5" t="s">
        <v>11</v>
      </c>
      <c r="C7" s="7">
        <v>171083829</v>
      </c>
      <c r="D7" s="9">
        <v>0.8499999997515838</v>
      </c>
      <c r="E7" s="7">
        <v>111469540.91000004</v>
      </c>
      <c r="F7" s="7">
        <v>108881755.36999997</v>
      </c>
      <c r="G7" s="7">
        <v>94749109.650237188</v>
      </c>
      <c r="H7" s="7">
        <v>61516740.900000036</v>
      </c>
      <c r="I7" s="7">
        <v>55733803.649999999</v>
      </c>
      <c r="J7" s="7">
        <f t="shared" ref="J7:J27" si="9">H7*D7</f>
        <v>52289229.749718279</v>
      </c>
      <c r="K7" s="26">
        <v>18606364.170000002</v>
      </c>
      <c r="L7" s="26">
        <v>18319429.649999999</v>
      </c>
      <c r="M7" s="26">
        <v>0</v>
      </c>
      <c r="N7" s="26">
        <v>0</v>
      </c>
      <c r="O7" s="26">
        <v>0</v>
      </c>
      <c r="P7" s="26">
        <v>0</v>
      </c>
      <c r="Q7" s="31"/>
      <c r="R7" s="31"/>
      <c r="S7" s="26">
        <v>3016543.7600000002</v>
      </c>
      <c r="T7" s="26">
        <v>3015673.43</v>
      </c>
      <c r="U7" s="7">
        <v>0</v>
      </c>
      <c r="V7" s="7">
        <v>0</v>
      </c>
      <c r="W7" s="7">
        <f t="shared" si="0"/>
        <v>2564062.195250642</v>
      </c>
      <c r="X7" s="7">
        <f t="shared" si="1"/>
        <v>172986281.81000006</v>
      </c>
      <c r="Y7" s="7">
        <f t="shared" si="2"/>
        <v>147038339.39995545</v>
      </c>
      <c r="Z7" s="7">
        <f t="shared" si="3"/>
        <v>164615559.01999998</v>
      </c>
      <c r="AA7" s="7">
        <f t="shared" ref="AA7:AA27" si="10">E7+H7+K7+M7+O7+Q7</f>
        <v>191592645.98000008</v>
      </c>
      <c r="AB7" s="7">
        <f t="shared" ref="AB7:AB27" si="11">G7+J7+((K7+M7+O7+Q7)*D7)</f>
        <v>162853748.93983334</v>
      </c>
      <c r="AC7" s="7">
        <f t="shared" ref="AC7:AC27" si="12">MIN(AB7,C7*1.15)</f>
        <v>162853748.93983334</v>
      </c>
      <c r="AD7" s="7">
        <f t="shared" si="4"/>
        <v>182934988.66999999</v>
      </c>
      <c r="AE7" s="17"/>
      <c r="AF7" s="7">
        <f t="shared" si="5"/>
        <v>191592645.98000008</v>
      </c>
      <c r="AG7" s="7">
        <f t="shared" si="6"/>
        <v>165644703.56995547</v>
      </c>
      <c r="AH7" s="7">
        <f t="shared" si="7"/>
        <v>165644703.56995547</v>
      </c>
      <c r="AI7" s="7">
        <f t="shared" si="8"/>
        <v>182934988.66999999</v>
      </c>
      <c r="AJ7" s="7"/>
      <c r="AK7" s="13"/>
      <c r="AL7" s="13"/>
    </row>
    <row r="8" spans="1:38" x14ac:dyDescent="0.25">
      <c r="A8" s="5">
        <v>3</v>
      </c>
      <c r="B8" s="5" t="s">
        <v>11</v>
      </c>
      <c r="C8" s="7">
        <v>352505296</v>
      </c>
      <c r="D8" s="9">
        <v>0.84999999168097617</v>
      </c>
      <c r="E8" s="7">
        <v>359225672.86999971</v>
      </c>
      <c r="F8" s="7">
        <v>275825647.01000005</v>
      </c>
      <c r="G8" s="7">
        <v>305341819.09154224</v>
      </c>
      <c r="H8" s="7">
        <v>70113807.620000035</v>
      </c>
      <c r="I8" s="7">
        <v>57495154.45000001</v>
      </c>
      <c r="J8" s="7">
        <f t="shared" si="9"/>
        <v>59596735.893721595</v>
      </c>
      <c r="K8" s="26">
        <v>13470305.660000002</v>
      </c>
      <c r="L8" s="26">
        <v>10556158.639999997</v>
      </c>
      <c r="M8" s="26">
        <v>0</v>
      </c>
      <c r="N8" s="26">
        <v>0</v>
      </c>
      <c r="O8" s="26">
        <v>376967.21</v>
      </c>
      <c r="P8" s="26">
        <v>5600</v>
      </c>
      <c r="Q8" s="31"/>
      <c r="R8" s="31"/>
      <c r="S8" s="26">
        <v>4613787.7399999993</v>
      </c>
      <c r="T8" s="26">
        <v>3132561.5699999994</v>
      </c>
      <c r="U8" s="7">
        <v>2953026</v>
      </c>
      <c r="V8" s="7">
        <v>1958595</v>
      </c>
      <c r="W8" s="7">
        <f t="shared" si="0"/>
        <v>6431791.616051496</v>
      </c>
      <c r="X8" s="7">
        <f t="shared" si="1"/>
        <v>429339480.48999977</v>
      </c>
      <c r="Y8" s="7">
        <f t="shared" si="2"/>
        <v>364938554.98526382</v>
      </c>
      <c r="Z8" s="7">
        <f t="shared" si="3"/>
        <v>333320801.46000004</v>
      </c>
      <c r="AA8" s="7">
        <f t="shared" si="10"/>
        <v>443186753.35999978</v>
      </c>
      <c r="AB8" s="7">
        <f t="shared" si="11"/>
        <v>376708736.80956805</v>
      </c>
      <c r="AC8" s="7">
        <f t="shared" si="12"/>
        <v>376708736.80956805</v>
      </c>
      <c r="AD8" s="7">
        <f t="shared" si="4"/>
        <v>343882560.10000002</v>
      </c>
      <c r="AE8" s="17"/>
      <c r="AF8" s="7">
        <f t="shared" si="5"/>
        <v>443186753.35999978</v>
      </c>
      <c r="AG8" s="7">
        <f t="shared" si="6"/>
        <v>378785827.85526383</v>
      </c>
      <c r="AH8" s="7">
        <f t="shared" si="7"/>
        <v>378785827.85526383</v>
      </c>
      <c r="AI8" s="7">
        <f t="shared" si="8"/>
        <v>343882560.10000002</v>
      </c>
      <c r="AJ8" s="7"/>
      <c r="AK8" s="13"/>
      <c r="AL8" s="13"/>
    </row>
    <row r="9" spans="1:38" x14ac:dyDescent="0.25">
      <c r="A9" s="5">
        <v>3</v>
      </c>
      <c r="B9" s="5" t="s">
        <v>12</v>
      </c>
      <c r="C9" s="7">
        <v>17799857</v>
      </c>
      <c r="D9" s="9">
        <v>0.84999996896042596</v>
      </c>
      <c r="E9" s="7">
        <v>19321334.880000006</v>
      </c>
      <c r="F9" s="7">
        <v>19324204.500000004</v>
      </c>
      <c r="G9" s="7">
        <v>16423134.052122734</v>
      </c>
      <c r="H9" s="7">
        <v>1526503.9000000001</v>
      </c>
      <c r="I9" s="7">
        <v>1528264.2699999996</v>
      </c>
      <c r="J9" s="7">
        <f t="shared" si="9"/>
        <v>1297528.2676179693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31"/>
      <c r="R9" s="31"/>
      <c r="S9" s="26">
        <v>0</v>
      </c>
      <c r="T9" s="26">
        <v>0</v>
      </c>
      <c r="U9" s="7">
        <v>0</v>
      </c>
      <c r="V9" s="7">
        <v>0</v>
      </c>
      <c r="W9" s="7">
        <f t="shared" si="0"/>
        <v>0</v>
      </c>
      <c r="X9" s="7">
        <f t="shared" si="1"/>
        <v>20847838.780000005</v>
      </c>
      <c r="Y9" s="7">
        <f t="shared" si="2"/>
        <v>17720662.319740705</v>
      </c>
      <c r="Z9" s="7">
        <f t="shared" si="3"/>
        <v>20852468.770000003</v>
      </c>
      <c r="AA9" s="7">
        <f t="shared" si="10"/>
        <v>20847838.780000005</v>
      </c>
      <c r="AB9" s="7">
        <f t="shared" si="11"/>
        <v>17720662.319740705</v>
      </c>
      <c r="AC9" s="7">
        <f t="shared" si="12"/>
        <v>17720662.319740705</v>
      </c>
      <c r="AD9" s="7">
        <f t="shared" si="4"/>
        <v>20852468.770000003</v>
      </c>
      <c r="AE9" s="17"/>
      <c r="AF9" s="7">
        <f t="shared" si="5"/>
        <v>20847838.780000005</v>
      </c>
      <c r="AG9" s="7">
        <f t="shared" si="6"/>
        <v>17720662.319740705</v>
      </c>
      <c r="AH9" s="7">
        <f t="shared" si="7"/>
        <v>17720662.319740705</v>
      </c>
      <c r="AI9" s="7">
        <f t="shared" si="8"/>
        <v>20852468.770000003</v>
      </c>
      <c r="AJ9" s="7"/>
      <c r="AK9" s="13"/>
      <c r="AL9" s="13"/>
    </row>
    <row r="10" spans="1:38" x14ac:dyDescent="0.25">
      <c r="A10" s="5">
        <v>4</v>
      </c>
      <c r="B10" s="5" t="s">
        <v>11</v>
      </c>
      <c r="C10" s="7">
        <v>290594229</v>
      </c>
      <c r="D10" s="9">
        <v>0.8499999938574142</v>
      </c>
      <c r="E10" s="7">
        <v>236452194.60999995</v>
      </c>
      <c r="F10" s="7">
        <v>206363574.88000008</v>
      </c>
      <c r="G10" s="7">
        <v>201001025.80089143</v>
      </c>
      <c r="H10" s="7">
        <v>67011641.259999953</v>
      </c>
      <c r="I10" s="7">
        <v>60520815.329999968</v>
      </c>
      <c r="J10" s="7">
        <f t="shared" si="9"/>
        <v>56959894.659375206</v>
      </c>
      <c r="K10" s="26">
        <v>55532781.969999999</v>
      </c>
      <c r="L10" s="26">
        <v>53416018.840000004</v>
      </c>
      <c r="M10" s="26">
        <v>0</v>
      </c>
      <c r="N10" s="26">
        <v>0</v>
      </c>
      <c r="O10" s="26">
        <v>0</v>
      </c>
      <c r="P10" s="26">
        <v>0</v>
      </c>
      <c r="Q10" s="31"/>
      <c r="R10" s="31"/>
      <c r="S10" s="26">
        <v>6151436.629999999</v>
      </c>
      <c r="T10" s="26">
        <v>5886606.3899999987</v>
      </c>
      <c r="U10" s="7">
        <v>4179207</v>
      </c>
      <c r="V10" s="7">
        <v>3784902</v>
      </c>
      <c r="W10" s="7">
        <f t="shared" si="0"/>
        <v>8781047.022043135</v>
      </c>
      <c r="X10" s="7">
        <f t="shared" si="1"/>
        <v>303463835.86999989</v>
      </c>
      <c r="Y10" s="7">
        <f t="shared" si="2"/>
        <v>257960920.46026665</v>
      </c>
      <c r="Z10" s="7">
        <f t="shared" si="3"/>
        <v>266884390.21000004</v>
      </c>
      <c r="AA10" s="7">
        <f t="shared" si="10"/>
        <v>358996617.83999991</v>
      </c>
      <c r="AB10" s="7">
        <f t="shared" si="11"/>
        <v>305163784.79365176</v>
      </c>
      <c r="AC10" s="7">
        <f t="shared" si="12"/>
        <v>305163784.79365176</v>
      </c>
      <c r="AD10" s="7">
        <f t="shared" si="4"/>
        <v>320300409.05000007</v>
      </c>
      <c r="AE10" s="17"/>
      <c r="AF10" s="7">
        <f t="shared" si="5"/>
        <v>358996617.83999991</v>
      </c>
      <c r="AG10" s="7">
        <f t="shared" si="6"/>
        <v>313493702.43026662</v>
      </c>
      <c r="AH10" s="7">
        <f t="shared" si="7"/>
        <v>313493702.43026662</v>
      </c>
      <c r="AI10" s="7">
        <f t="shared" si="8"/>
        <v>320300409.05000007</v>
      </c>
      <c r="AJ10" s="7"/>
      <c r="AK10" s="13"/>
      <c r="AL10" s="13"/>
    </row>
    <row r="11" spans="1:38" x14ac:dyDescent="0.25">
      <c r="A11" s="5">
        <v>4</v>
      </c>
      <c r="B11" s="5" t="s">
        <v>13</v>
      </c>
      <c r="C11" s="7">
        <v>362637128</v>
      </c>
      <c r="D11" s="9">
        <v>0.84999999660128567</v>
      </c>
      <c r="E11" s="7">
        <v>196706819.29999998</v>
      </c>
      <c r="F11" s="7">
        <v>104633966.11999997</v>
      </c>
      <c r="G11" s="7">
        <v>167200795.74304909</v>
      </c>
      <c r="H11" s="7">
        <v>196815332.31</v>
      </c>
      <c r="I11" s="7">
        <v>135325001.61999997</v>
      </c>
      <c r="J11" s="7">
        <f>H11*D11</f>
        <v>167293031.79458091</v>
      </c>
      <c r="K11" s="26">
        <v>147618911.97999999</v>
      </c>
      <c r="L11" s="26">
        <v>120500195.52999999</v>
      </c>
      <c r="M11" s="26">
        <v>35433877.439999998</v>
      </c>
      <c r="N11" s="26">
        <v>30118795.82</v>
      </c>
      <c r="O11" s="26">
        <v>0</v>
      </c>
      <c r="P11" s="26">
        <v>0</v>
      </c>
      <c r="Q11" s="31"/>
      <c r="R11" s="31"/>
      <c r="S11" s="26">
        <v>10969634.489999998</v>
      </c>
      <c r="T11" s="26">
        <v>8229000.9900000002</v>
      </c>
      <c r="U11" s="7">
        <v>579571.76</v>
      </c>
      <c r="V11" s="7">
        <v>484282.87</v>
      </c>
      <c r="W11" s="7">
        <f t="shared" si="0"/>
        <v>9816825.2732475456</v>
      </c>
      <c r="X11" s="7">
        <f t="shared" si="1"/>
        <v>393522151.61000001</v>
      </c>
      <c r="Y11" s="7">
        <f t="shared" si="2"/>
        <v>334493827.53762996</v>
      </c>
      <c r="Z11" s="7">
        <f t="shared" si="3"/>
        <v>239958967.73999995</v>
      </c>
      <c r="AA11" s="7">
        <f t="shared" si="10"/>
        <v>576574941.02999997</v>
      </c>
      <c r="AB11" s="7">
        <f t="shared" si="11"/>
        <v>490088697.92248583</v>
      </c>
      <c r="AC11" s="7">
        <f t="shared" si="12"/>
        <v>417032697.19999999</v>
      </c>
      <c r="AD11" s="7">
        <f t="shared" si="4"/>
        <v>390577959.08999991</v>
      </c>
      <c r="AE11" s="17"/>
      <c r="AF11" s="7">
        <f t="shared" si="5"/>
        <v>576574941.02999997</v>
      </c>
      <c r="AG11" s="7">
        <f t="shared" si="6"/>
        <v>517546616.95762992</v>
      </c>
      <c r="AH11" s="7">
        <f t="shared" si="7"/>
        <v>417032697.19999999</v>
      </c>
      <c r="AI11" s="7">
        <f t="shared" si="8"/>
        <v>390577959.08999991</v>
      </c>
      <c r="AJ11" s="7"/>
      <c r="AK11" s="28"/>
      <c r="AL11" s="28"/>
    </row>
    <row r="12" spans="1:38" x14ac:dyDescent="0.25">
      <c r="A12" s="5">
        <v>5</v>
      </c>
      <c r="B12" s="5" t="s">
        <v>11</v>
      </c>
      <c r="C12" s="7">
        <v>390526470</v>
      </c>
      <c r="D12" s="9">
        <v>0.84996299820999477</v>
      </c>
      <c r="E12" s="7">
        <v>407197858.59999973</v>
      </c>
      <c r="F12" s="7">
        <v>344424577.58000034</v>
      </c>
      <c r="G12" s="7">
        <v>346116262.52235651</v>
      </c>
      <c r="H12" s="7">
        <v>5299981.7099999515</v>
      </c>
      <c r="I12" s="7">
        <v>-3939481.7100000386</v>
      </c>
      <c r="J12" s="7">
        <f t="shared" si="9"/>
        <v>4504788.3446896942</v>
      </c>
      <c r="K12" s="26">
        <v>31441301.340000011</v>
      </c>
      <c r="L12" s="26">
        <v>28293297.070000004</v>
      </c>
      <c r="M12" s="26">
        <v>0</v>
      </c>
      <c r="N12" s="26">
        <v>0</v>
      </c>
      <c r="O12" s="26">
        <v>175920.48</v>
      </c>
      <c r="P12" s="26">
        <v>0</v>
      </c>
      <c r="Q12" s="31"/>
      <c r="R12" s="31"/>
      <c r="S12" s="26">
        <v>9346985.5499999989</v>
      </c>
      <c r="T12" s="26">
        <v>7975543.8699999992</v>
      </c>
      <c r="U12" s="7">
        <v>9360801</v>
      </c>
      <c r="V12" s="7">
        <v>7215049</v>
      </c>
      <c r="W12" s="7">
        <f t="shared" si="0"/>
        <v>15900926.345910612</v>
      </c>
      <c r="X12" s="7">
        <f t="shared" si="1"/>
        <v>412497840.3099997</v>
      </c>
      <c r="Y12" s="7">
        <f t="shared" si="2"/>
        <v>350621050.86704618</v>
      </c>
      <c r="Z12" s="7">
        <f t="shared" si="3"/>
        <v>340485095.8700003</v>
      </c>
      <c r="AA12" s="7">
        <f t="shared" si="10"/>
        <v>444115062.12999976</v>
      </c>
      <c r="AB12" s="7">
        <f t="shared" si="11"/>
        <v>377494519.52024388</v>
      </c>
      <c r="AC12" s="7">
        <f t="shared" si="12"/>
        <v>377494519.52024388</v>
      </c>
      <c r="AD12" s="7">
        <f t="shared" si="4"/>
        <v>368778392.9400003</v>
      </c>
      <c r="AE12" s="17"/>
      <c r="AF12" s="7">
        <f t="shared" si="5"/>
        <v>444115062.12999976</v>
      </c>
      <c r="AG12" s="7">
        <f t="shared" si="6"/>
        <v>382238272.68704617</v>
      </c>
      <c r="AH12" s="7">
        <f t="shared" si="7"/>
        <v>382238272.68704617</v>
      </c>
      <c r="AI12" s="7">
        <f t="shared" si="8"/>
        <v>368778392.9400003</v>
      </c>
      <c r="AJ12" s="7"/>
      <c r="AK12" s="13"/>
      <c r="AL12" s="13"/>
    </row>
    <row r="13" spans="1:38" x14ac:dyDescent="0.25">
      <c r="A13" s="5">
        <v>5</v>
      </c>
      <c r="B13" s="5" t="s">
        <v>13</v>
      </c>
      <c r="C13" s="7">
        <v>191923724</v>
      </c>
      <c r="D13" s="9">
        <v>0.84999999424250439</v>
      </c>
      <c r="E13" s="7">
        <v>196020431.01999989</v>
      </c>
      <c r="F13" s="7">
        <v>147267135.19000012</v>
      </c>
      <c r="G13" s="7">
        <v>166617365.14678541</v>
      </c>
      <c r="H13" s="7">
        <v>123049946.13999993</v>
      </c>
      <c r="I13" s="7">
        <v>104348970.02000004</v>
      </c>
      <c r="J13" s="7">
        <f t="shared" si="9"/>
        <v>104592453.51054041</v>
      </c>
      <c r="K13" s="26">
        <v>29642975.600000001</v>
      </c>
      <c r="L13" s="26">
        <v>21937768.229999997</v>
      </c>
      <c r="M13" s="26">
        <v>0</v>
      </c>
      <c r="N13" s="26">
        <v>0</v>
      </c>
      <c r="O13" s="26">
        <v>0</v>
      </c>
      <c r="P13" s="26">
        <v>0</v>
      </c>
      <c r="Q13" s="31"/>
      <c r="R13" s="31"/>
      <c r="S13" s="26">
        <v>1049976.6499999999</v>
      </c>
      <c r="T13" s="26">
        <v>801944.34000000008</v>
      </c>
      <c r="U13" s="7">
        <v>4380999.8899999997</v>
      </c>
      <c r="V13" s="7">
        <v>2851498.6099999994</v>
      </c>
      <c r="W13" s="7">
        <f t="shared" si="0"/>
        <v>4616330.0277311755</v>
      </c>
      <c r="X13" s="7">
        <f t="shared" si="1"/>
        <v>319070377.15999985</v>
      </c>
      <c r="Y13" s="7">
        <f t="shared" si="2"/>
        <v>271209818.6573258</v>
      </c>
      <c r="Z13" s="7">
        <f t="shared" si="3"/>
        <v>251616105.21000016</v>
      </c>
      <c r="AA13" s="7">
        <f t="shared" si="10"/>
        <v>348713352.75999987</v>
      </c>
      <c r="AB13" s="7">
        <f>G13+J13+((K13+M13+O13+Q13)*D13)</f>
        <v>296406347.74665648</v>
      </c>
      <c r="AC13" s="7">
        <f t="shared" si="12"/>
        <v>220712282.59999999</v>
      </c>
      <c r="AD13" s="7">
        <f t="shared" si="4"/>
        <v>273553873.44000018</v>
      </c>
      <c r="AE13" s="17"/>
      <c r="AF13" s="7">
        <f t="shared" si="5"/>
        <v>348713352.75999987</v>
      </c>
      <c r="AG13" s="7">
        <f t="shared" si="6"/>
        <v>300852794.25732583</v>
      </c>
      <c r="AH13" s="7">
        <f t="shared" si="7"/>
        <v>220712282.59999999</v>
      </c>
      <c r="AI13" s="7">
        <f t="shared" si="8"/>
        <v>273553873.44000018</v>
      </c>
      <c r="AJ13" s="7"/>
      <c r="AK13" s="28"/>
      <c r="AL13" s="28"/>
    </row>
    <row r="14" spans="1:38" x14ac:dyDescent="0.25">
      <c r="A14" s="5">
        <v>6</v>
      </c>
      <c r="B14" s="5" t="s">
        <v>11</v>
      </c>
      <c r="C14" s="7">
        <v>235477563</v>
      </c>
      <c r="D14" s="9">
        <v>0.84999999711225138</v>
      </c>
      <c r="E14" s="7">
        <v>265522046.26000005</v>
      </c>
      <c r="F14" s="7">
        <v>265522470.17000008</v>
      </c>
      <c r="G14" s="7">
        <v>225693738.55423903</v>
      </c>
      <c r="H14" s="7">
        <v>982999.29999999981</v>
      </c>
      <c r="I14" s="7">
        <v>1042666.8999999997</v>
      </c>
      <c r="J14" s="7">
        <f t="shared" si="9"/>
        <v>835549.402161345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31"/>
      <c r="R14" s="31"/>
      <c r="S14" s="26">
        <v>0</v>
      </c>
      <c r="T14" s="26">
        <v>0</v>
      </c>
      <c r="U14" s="7">
        <v>3330597</v>
      </c>
      <c r="V14" s="7">
        <v>3330597</v>
      </c>
      <c r="W14" s="7">
        <f t="shared" si="0"/>
        <v>2831007.4403820732</v>
      </c>
      <c r="X14" s="7">
        <f t="shared" si="1"/>
        <v>266505045.56000006</v>
      </c>
      <c r="Y14" s="7">
        <f t="shared" si="2"/>
        <v>226529287.95640039</v>
      </c>
      <c r="Z14" s="7">
        <f t="shared" si="3"/>
        <v>266565137.07000008</v>
      </c>
      <c r="AA14" s="7">
        <f t="shared" si="10"/>
        <v>266505045.56000006</v>
      </c>
      <c r="AB14" s="7">
        <f t="shared" si="11"/>
        <v>226529287.95640039</v>
      </c>
      <c r="AC14" s="7">
        <f>MIN(AB14,C14*1.15)</f>
        <v>226529287.95640039</v>
      </c>
      <c r="AD14" s="7">
        <f t="shared" si="4"/>
        <v>266565137.07000008</v>
      </c>
      <c r="AE14" s="17"/>
      <c r="AF14" s="7">
        <f t="shared" si="5"/>
        <v>266505045.56000006</v>
      </c>
      <c r="AG14" s="7">
        <f t="shared" si="6"/>
        <v>226529287.95640039</v>
      </c>
      <c r="AH14" s="7">
        <f t="shared" si="7"/>
        <v>226529287.95640039</v>
      </c>
      <c r="AI14" s="7">
        <f t="shared" si="8"/>
        <v>266565137.07000008</v>
      </c>
      <c r="AJ14" s="7"/>
      <c r="AK14" s="13"/>
      <c r="AL14" s="13"/>
    </row>
    <row r="15" spans="1:38" x14ac:dyDescent="0.25">
      <c r="A15" s="5">
        <v>6</v>
      </c>
      <c r="B15" s="5" t="s">
        <v>13</v>
      </c>
      <c r="C15" s="7">
        <v>591358030</v>
      </c>
      <c r="D15" s="9">
        <v>0.84999999561602302</v>
      </c>
      <c r="E15" s="7">
        <v>481509506.87999976</v>
      </c>
      <c r="F15" s="7">
        <v>440489974.1699999</v>
      </c>
      <c r="G15" s="7">
        <v>409283079.07256383</v>
      </c>
      <c r="H15" s="7">
        <v>87270722.700000003</v>
      </c>
      <c r="I15" s="7">
        <v>77975821.589999989</v>
      </c>
      <c r="J15" s="7">
        <f t="shared" si="9"/>
        <v>74180113.91240716</v>
      </c>
      <c r="K15" s="26">
        <v>105355327.06999999</v>
      </c>
      <c r="L15" s="26">
        <v>90719834.450000003</v>
      </c>
      <c r="M15" s="26">
        <v>0</v>
      </c>
      <c r="N15" s="26">
        <v>0</v>
      </c>
      <c r="O15" s="26">
        <v>0</v>
      </c>
      <c r="P15" s="26">
        <v>0</v>
      </c>
      <c r="Q15" s="31">
        <f>-6074773.81</f>
        <v>-6074773.8099999996</v>
      </c>
      <c r="R15" s="31">
        <f>-4502014.87</f>
        <v>-4502014.87</v>
      </c>
      <c r="S15" s="26">
        <v>5251880.49</v>
      </c>
      <c r="T15" s="26">
        <v>4464098.42</v>
      </c>
      <c r="U15" s="7">
        <v>12452563.329999998</v>
      </c>
      <c r="V15" s="7">
        <v>11019674.449999999</v>
      </c>
      <c r="W15" s="7">
        <f t="shared" si="0"/>
        <v>15048777.169384126</v>
      </c>
      <c r="X15" s="7">
        <f t="shared" si="1"/>
        <v>568780229.5799998</v>
      </c>
      <c r="Y15" s="7">
        <f t="shared" si="2"/>
        <v>483463192.98497099</v>
      </c>
      <c r="Z15" s="7">
        <f t="shared" si="3"/>
        <v>518465795.75999987</v>
      </c>
      <c r="AA15" s="7">
        <f t="shared" si="10"/>
        <v>668060782.83999991</v>
      </c>
      <c r="AB15" s="7">
        <f t="shared" si="11"/>
        <v>567851662.82072735</v>
      </c>
      <c r="AC15" s="7">
        <f t="shared" si="12"/>
        <v>567851662.82072735</v>
      </c>
      <c r="AD15" s="7">
        <f t="shared" si="4"/>
        <v>604683615.33999991</v>
      </c>
      <c r="AE15" s="17"/>
      <c r="AF15" s="7">
        <f t="shared" si="5"/>
        <v>668060782.83999991</v>
      </c>
      <c r="AG15" s="7">
        <f t="shared" si="6"/>
        <v>582743746.24497104</v>
      </c>
      <c r="AH15" s="7">
        <f t="shared" si="7"/>
        <v>582743746.24497104</v>
      </c>
      <c r="AI15" s="7">
        <f t="shared" si="8"/>
        <v>604683615.33999991</v>
      </c>
      <c r="AJ15" s="7"/>
      <c r="AK15" s="28"/>
      <c r="AL15" s="28"/>
    </row>
    <row r="16" spans="1:38" x14ac:dyDescent="0.25">
      <c r="A16" s="5">
        <v>7</v>
      </c>
      <c r="B16" s="5" t="s">
        <v>12</v>
      </c>
      <c r="C16" s="7">
        <v>105460193</v>
      </c>
      <c r="D16" s="9">
        <v>0.84999160286240472</v>
      </c>
      <c r="E16" s="7">
        <v>112187582.17000008</v>
      </c>
      <c r="F16" s="7">
        <v>107945424.77000007</v>
      </c>
      <c r="G16" s="7">
        <v>95359272.56884782</v>
      </c>
      <c r="H16" s="7">
        <v>11727548.159999998</v>
      </c>
      <c r="I16" s="7">
        <v>11727558.439999998</v>
      </c>
      <c r="J16" s="7">
        <f t="shared" si="9"/>
        <v>9968317.4581644442</v>
      </c>
      <c r="K16" s="26">
        <v>636785.96</v>
      </c>
      <c r="L16" s="26">
        <v>636785.96</v>
      </c>
      <c r="M16" s="26">
        <v>0</v>
      </c>
      <c r="N16" s="26">
        <v>0</v>
      </c>
      <c r="O16" s="26">
        <v>0</v>
      </c>
      <c r="P16" s="26">
        <v>0</v>
      </c>
      <c r="Q16" s="31"/>
      <c r="R16" s="31"/>
      <c r="S16" s="26">
        <v>6331.1399999999994</v>
      </c>
      <c r="T16" s="26">
        <v>6331.1399999999994</v>
      </c>
      <c r="U16" s="31">
        <v>6166.14</v>
      </c>
      <c r="V16" s="31">
        <v>6166.14</v>
      </c>
      <c r="W16" s="7">
        <f t="shared" si="0"/>
        <v>10622.583058620272</v>
      </c>
      <c r="X16" s="7">
        <f t="shared" si="1"/>
        <v>123915130.33000007</v>
      </c>
      <c r="Y16" s="7">
        <f t="shared" si="2"/>
        <v>105327590.02701226</v>
      </c>
      <c r="Z16" s="7">
        <f t="shared" si="3"/>
        <v>119672983.21000007</v>
      </c>
      <c r="AA16" s="7">
        <f t="shared" si="10"/>
        <v>124551916.29000007</v>
      </c>
      <c r="AB16" s="7">
        <f t="shared" si="11"/>
        <v>105868852.74583293</v>
      </c>
      <c r="AC16" s="7">
        <f t="shared" si="12"/>
        <v>105868852.74583293</v>
      </c>
      <c r="AD16" s="7">
        <f t="shared" si="4"/>
        <v>120309769.17000006</v>
      </c>
      <c r="AE16" s="17"/>
      <c r="AF16" s="7">
        <f t="shared" si="5"/>
        <v>124551916.29000007</v>
      </c>
      <c r="AG16" s="7">
        <f t="shared" si="6"/>
        <v>105964375.98701225</v>
      </c>
      <c r="AH16" s="7">
        <f t="shared" si="7"/>
        <v>105964375.98701225</v>
      </c>
      <c r="AI16" s="7">
        <f t="shared" si="8"/>
        <v>120309769.17000006</v>
      </c>
      <c r="AJ16" s="7"/>
      <c r="AK16" s="13"/>
      <c r="AL16" s="13"/>
    </row>
    <row r="17" spans="1:38" x14ac:dyDescent="0.25">
      <c r="A17" s="5">
        <v>7</v>
      </c>
      <c r="B17" s="5" t="s">
        <v>43</v>
      </c>
      <c r="C17" s="7">
        <v>58021278</v>
      </c>
      <c r="D17" s="9">
        <v>0.91891888296324387</v>
      </c>
      <c r="E17" s="7">
        <v>61776326.620000027</v>
      </c>
      <c r="F17" s="7">
        <v>56899378.310000017</v>
      </c>
      <c r="G17" s="7">
        <v>56767415.615756921</v>
      </c>
      <c r="H17" s="7">
        <v>386850.54000000021</v>
      </c>
      <c r="I17" s="7">
        <v>386850.53999999957</v>
      </c>
      <c r="J17" s="7">
        <f t="shared" si="9"/>
        <v>355484.26609052788</v>
      </c>
      <c r="K17" s="26">
        <v>1158147.6200000001</v>
      </c>
      <c r="L17" s="26">
        <v>1158147.6199999996</v>
      </c>
      <c r="M17" s="26">
        <v>0</v>
      </c>
      <c r="N17" s="26">
        <v>0</v>
      </c>
      <c r="O17" s="26">
        <v>0</v>
      </c>
      <c r="P17" s="26">
        <v>0</v>
      </c>
      <c r="Q17" s="31"/>
      <c r="R17" s="31"/>
      <c r="S17" s="26">
        <v>0</v>
      </c>
      <c r="T17" s="26">
        <v>0</v>
      </c>
      <c r="U17" s="31">
        <v>0</v>
      </c>
      <c r="V17" s="31">
        <v>0</v>
      </c>
      <c r="W17" s="7">
        <f t="shared" si="0"/>
        <v>0</v>
      </c>
      <c r="X17" s="7">
        <f t="shared" si="1"/>
        <v>62163177.160000026</v>
      </c>
      <c r="Y17" s="7">
        <f t="shared" si="2"/>
        <v>57122899.881847449</v>
      </c>
      <c r="Z17" s="7">
        <f t="shared" si="3"/>
        <v>57286228.850000016</v>
      </c>
      <c r="AA17" s="7">
        <f t="shared" si="10"/>
        <v>63321324.780000024</v>
      </c>
      <c r="AB17" s="7">
        <f t="shared" si="11"/>
        <v>58187143.599124387</v>
      </c>
      <c r="AC17" s="7">
        <f t="shared" si="12"/>
        <v>58187143.599124387</v>
      </c>
      <c r="AD17" s="7">
        <f t="shared" si="4"/>
        <v>58444376.470000014</v>
      </c>
      <c r="AE17" s="17"/>
      <c r="AF17" s="7">
        <f t="shared" si="5"/>
        <v>63321324.780000024</v>
      </c>
      <c r="AG17" s="7">
        <f t="shared" si="6"/>
        <v>58281047.501847446</v>
      </c>
      <c r="AH17" s="7">
        <f t="shared" si="7"/>
        <v>58281047.501847446</v>
      </c>
      <c r="AI17" s="7">
        <f t="shared" si="8"/>
        <v>58444376.470000014</v>
      </c>
      <c r="AJ17" s="7"/>
      <c r="AK17" s="13"/>
      <c r="AL17" s="13"/>
    </row>
    <row r="18" spans="1:38" x14ac:dyDescent="0.25">
      <c r="A18" s="5">
        <v>8</v>
      </c>
      <c r="B18" s="5" t="s">
        <v>11</v>
      </c>
      <c r="C18" s="7">
        <v>272565440</v>
      </c>
      <c r="D18" s="9">
        <v>0.84999999610185362</v>
      </c>
      <c r="E18" s="7">
        <v>315788479.36000025</v>
      </c>
      <c r="F18" s="7">
        <v>246984047.49000007</v>
      </c>
      <c r="G18" s="7">
        <v>268420206.1299606</v>
      </c>
      <c r="H18" s="7">
        <v>76548034.730000019</v>
      </c>
      <c r="I18" s="7">
        <v>48920714.250000015</v>
      </c>
      <c r="J18" s="7">
        <f t="shared" si="9"/>
        <v>65065829.222104572</v>
      </c>
      <c r="K18" s="26">
        <v>12144374.15</v>
      </c>
      <c r="L18" s="26">
        <v>9423641.9900000002</v>
      </c>
      <c r="M18" s="26">
        <v>2600102.29</v>
      </c>
      <c r="N18" s="26">
        <v>1197237.67</v>
      </c>
      <c r="O18" s="26">
        <v>0</v>
      </c>
      <c r="P18" s="26">
        <v>0</v>
      </c>
      <c r="Q18" s="31"/>
      <c r="R18" s="31"/>
      <c r="S18" s="26">
        <v>10725081.610000001</v>
      </c>
      <c r="T18" s="26">
        <v>2807263.7600000002</v>
      </c>
      <c r="U18" s="31">
        <v>7116683</v>
      </c>
      <c r="V18" s="31">
        <v>4537575</v>
      </c>
      <c r="W18" s="7">
        <f t="shared" si="0"/>
        <v>15165499.848950189</v>
      </c>
      <c r="X18" s="7">
        <f t="shared" si="1"/>
        <v>392336514.09000027</v>
      </c>
      <c r="Y18" s="7">
        <f t="shared" si="2"/>
        <v>333486035.35206515</v>
      </c>
      <c r="Z18" s="7">
        <f t="shared" si="3"/>
        <v>295904761.74000007</v>
      </c>
      <c r="AA18" s="7">
        <f t="shared" si="10"/>
        <v>407080990.53000027</v>
      </c>
      <c r="AB18" s="7">
        <f t="shared" si="11"/>
        <v>346018840.26858902</v>
      </c>
      <c r="AC18" s="7">
        <f t="shared" si="12"/>
        <v>313450256</v>
      </c>
      <c r="AD18" s="7">
        <f t="shared" si="4"/>
        <v>306525641.4000001</v>
      </c>
      <c r="AE18" s="17"/>
      <c r="AF18" s="7">
        <f t="shared" si="5"/>
        <v>407080990.53000027</v>
      </c>
      <c r="AG18" s="7">
        <f t="shared" si="6"/>
        <v>348230511.79206514</v>
      </c>
      <c r="AH18" s="7">
        <f t="shared" si="7"/>
        <v>313450256</v>
      </c>
      <c r="AI18" s="7">
        <f t="shared" si="8"/>
        <v>306525641.4000001</v>
      </c>
      <c r="AJ18" s="7"/>
      <c r="AK18" s="13"/>
      <c r="AL18" s="13"/>
    </row>
    <row r="19" spans="1:38" x14ac:dyDescent="0.25">
      <c r="A19" s="5">
        <v>8</v>
      </c>
      <c r="B19" s="5" t="s">
        <v>12</v>
      </c>
      <c r="C19" s="7">
        <v>252647648</v>
      </c>
      <c r="D19" s="9">
        <v>0.84999998586964898</v>
      </c>
      <c r="E19" s="7">
        <v>230017439.72999999</v>
      </c>
      <c r="F19" s="7">
        <v>229565813.11999992</v>
      </c>
      <c r="G19" s="7">
        <v>195514820.54423037</v>
      </c>
      <c r="H19" s="7">
        <v>46971139.82</v>
      </c>
      <c r="I19" s="7">
        <v>46971572.270000003</v>
      </c>
      <c r="J19" s="7">
        <f t="shared" si="9"/>
        <v>39925468.18328131</v>
      </c>
      <c r="K19" s="26">
        <v>12229393.200000001</v>
      </c>
      <c r="L19" s="26">
        <v>12229393.199999999</v>
      </c>
      <c r="M19" s="26">
        <v>4994.8799999999992</v>
      </c>
      <c r="N19" s="26">
        <v>4994.8799999999992</v>
      </c>
      <c r="O19" s="26">
        <v>41755.039999999994</v>
      </c>
      <c r="P19" s="26">
        <v>41755.039999999994</v>
      </c>
      <c r="Q19" s="31"/>
      <c r="R19" s="31"/>
      <c r="S19" s="26">
        <v>612526.5199999999</v>
      </c>
      <c r="T19" s="26">
        <v>212642.86999999988</v>
      </c>
      <c r="U19" s="31">
        <v>316085.95</v>
      </c>
      <c r="V19" s="31">
        <v>316085.95</v>
      </c>
      <c r="W19" s="7">
        <f t="shared" si="0"/>
        <v>789320.58637837984</v>
      </c>
      <c r="X19" s="7">
        <f t="shared" si="1"/>
        <v>276988579.55000001</v>
      </c>
      <c r="Y19" s="7">
        <f t="shared" si="2"/>
        <v>235440288.72751167</v>
      </c>
      <c r="Z19" s="7">
        <f t="shared" si="3"/>
        <v>276537385.38999993</v>
      </c>
      <c r="AA19" s="7">
        <f t="shared" si="10"/>
        <v>289264722.67000002</v>
      </c>
      <c r="AB19" s="7">
        <f t="shared" si="11"/>
        <v>245875010.20604545</v>
      </c>
      <c r="AC19" s="7">
        <f t="shared" si="12"/>
        <v>245875010.20604545</v>
      </c>
      <c r="AD19" s="7">
        <f t="shared" si="4"/>
        <v>288813528.50999993</v>
      </c>
      <c r="AE19" s="17"/>
      <c r="AF19" s="7">
        <f t="shared" si="5"/>
        <v>289264722.67000002</v>
      </c>
      <c r="AG19" s="7">
        <f t="shared" si="6"/>
        <v>247716431.84751168</v>
      </c>
      <c r="AH19" s="7">
        <f t="shared" si="7"/>
        <v>247716431.84751168</v>
      </c>
      <c r="AI19" s="7">
        <f t="shared" si="8"/>
        <v>288813528.50999993</v>
      </c>
      <c r="AJ19" s="7"/>
      <c r="AK19" s="13"/>
      <c r="AL19" s="13"/>
    </row>
    <row r="20" spans="1:38" x14ac:dyDescent="0.25">
      <c r="A20" s="5">
        <v>9</v>
      </c>
      <c r="B20" s="5" t="s">
        <v>11</v>
      </c>
      <c r="C20" s="7">
        <v>265728639</v>
      </c>
      <c r="D20" s="9">
        <v>0.84999999520187208</v>
      </c>
      <c r="E20" s="7">
        <v>153811686.02000001</v>
      </c>
      <c r="F20" s="7">
        <v>139128024.9799999</v>
      </c>
      <c r="G20" s="7">
        <v>130739932.42535549</v>
      </c>
      <c r="H20" s="7">
        <v>73161998.080000028</v>
      </c>
      <c r="I20" s="7">
        <v>62342731.070000023</v>
      </c>
      <c r="J20" s="7">
        <f t="shared" si="9"/>
        <v>62187698.016959399</v>
      </c>
      <c r="K20" s="26">
        <v>61016456.470000014</v>
      </c>
      <c r="L20" s="26">
        <v>51790322.790000014</v>
      </c>
      <c r="M20" s="26">
        <v>0</v>
      </c>
      <c r="N20" s="26">
        <v>0</v>
      </c>
      <c r="O20" s="26">
        <v>0</v>
      </c>
      <c r="P20" s="26">
        <v>0</v>
      </c>
      <c r="Q20" s="31"/>
      <c r="R20" s="31"/>
      <c r="S20" s="26">
        <v>47021573.360000007</v>
      </c>
      <c r="T20" s="26">
        <v>45439840.650000006</v>
      </c>
      <c r="U20" s="31">
        <v>1084544</v>
      </c>
      <c r="V20" s="31">
        <v>1008084</v>
      </c>
      <c r="W20" s="7">
        <f t="shared" si="0"/>
        <v>40890199.525180697</v>
      </c>
      <c r="X20" s="7">
        <f t="shared" si="1"/>
        <v>226973684.10000002</v>
      </c>
      <c r="Y20" s="7">
        <f t="shared" si="2"/>
        <v>192927630.44231489</v>
      </c>
      <c r="Z20" s="7">
        <f t="shared" si="3"/>
        <v>201470756.04999992</v>
      </c>
      <c r="AA20" s="7">
        <f t="shared" si="10"/>
        <v>287990140.57000005</v>
      </c>
      <c r="AB20" s="7">
        <f t="shared" si="11"/>
        <v>244791618.14905015</v>
      </c>
      <c r="AC20" s="7">
        <f t="shared" si="12"/>
        <v>244791618.14905015</v>
      </c>
      <c r="AD20" s="7">
        <f t="shared" si="4"/>
        <v>253261078.83999994</v>
      </c>
      <c r="AE20" s="17"/>
      <c r="AF20" s="7">
        <f t="shared" si="5"/>
        <v>287990140.57000005</v>
      </c>
      <c r="AG20" s="7">
        <f t="shared" si="6"/>
        <v>253944086.91231489</v>
      </c>
      <c r="AH20" s="7">
        <f t="shared" si="7"/>
        <v>253944086.91231489</v>
      </c>
      <c r="AI20" s="7">
        <f t="shared" si="8"/>
        <v>253261078.83999994</v>
      </c>
      <c r="AJ20" s="7"/>
      <c r="AK20" s="13"/>
      <c r="AL20" s="13"/>
    </row>
    <row r="21" spans="1:38" x14ac:dyDescent="0.25">
      <c r="A21" s="5">
        <v>9</v>
      </c>
      <c r="B21" s="5" t="s">
        <v>12</v>
      </c>
      <c r="C21" s="7">
        <v>250366448</v>
      </c>
      <c r="D21" s="9">
        <v>0.84999998947542699</v>
      </c>
      <c r="E21" s="7">
        <v>210051468.90999991</v>
      </c>
      <c r="F21" s="7">
        <v>187366421.33999994</v>
      </c>
      <c r="G21" s="7">
        <v>178599409.99697512</v>
      </c>
      <c r="H21" s="7">
        <v>74763541.269999996</v>
      </c>
      <c r="I21" s="7">
        <v>71666797.389999986</v>
      </c>
      <c r="J21" s="7">
        <f t="shared" si="9"/>
        <v>63549009.292645648</v>
      </c>
      <c r="K21" s="26">
        <v>19893324.869999994</v>
      </c>
      <c r="L21" s="26">
        <v>19851252.689999998</v>
      </c>
      <c r="M21" s="26">
        <v>1635756.23</v>
      </c>
      <c r="N21" s="26">
        <v>1635756.23</v>
      </c>
      <c r="O21" s="26">
        <v>0</v>
      </c>
      <c r="P21" s="26">
        <v>0</v>
      </c>
      <c r="Q21" s="31"/>
      <c r="R21" s="31"/>
      <c r="S21" s="26">
        <v>329012.05</v>
      </c>
      <c r="T21" s="26">
        <v>329012.05</v>
      </c>
      <c r="U21" s="31">
        <v>377394.61</v>
      </c>
      <c r="V21" s="31">
        <v>374218.75</v>
      </c>
      <c r="W21" s="7">
        <f t="shared" si="0"/>
        <v>600445.65356537141</v>
      </c>
      <c r="X21" s="7">
        <f t="shared" si="1"/>
        <v>284815010.17999989</v>
      </c>
      <c r="Y21" s="7">
        <f t="shared" si="2"/>
        <v>242148419.28962076</v>
      </c>
      <c r="Z21" s="7">
        <f t="shared" si="3"/>
        <v>259033218.72999993</v>
      </c>
      <c r="AA21" s="7">
        <f t="shared" si="10"/>
        <v>306344091.27999991</v>
      </c>
      <c r="AB21" s="7">
        <f t="shared" si="11"/>
        <v>260448137.99803635</v>
      </c>
      <c r="AC21" s="7">
        <f t="shared" si="12"/>
        <v>260448137.99803635</v>
      </c>
      <c r="AD21" s="7">
        <f t="shared" si="4"/>
        <v>280520227.64999998</v>
      </c>
      <c r="AE21" s="17"/>
      <c r="AF21" s="7">
        <f t="shared" si="5"/>
        <v>306344091.27999991</v>
      </c>
      <c r="AG21" s="7">
        <f t="shared" si="6"/>
        <v>263677500.38962075</v>
      </c>
      <c r="AH21" s="7">
        <f t="shared" si="7"/>
        <v>263677500.38962075</v>
      </c>
      <c r="AI21" s="7">
        <f t="shared" si="8"/>
        <v>280520227.64999998</v>
      </c>
      <c r="AJ21" s="7"/>
      <c r="AK21" s="13"/>
      <c r="AL21" s="13"/>
    </row>
    <row r="22" spans="1:38" x14ac:dyDescent="0.25">
      <c r="A22" s="5">
        <v>10</v>
      </c>
      <c r="B22" s="5" t="s">
        <v>12</v>
      </c>
      <c r="C22" s="7">
        <v>21420040</v>
      </c>
      <c r="D22" s="9">
        <v>0.84999996825402868</v>
      </c>
      <c r="E22" s="7">
        <v>21473901.410000008</v>
      </c>
      <c r="F22" s="7">
        <v>21473907.430000011</v>
      </c>
      <c r="G22" s="7">
        <v>18252815.516790144</v>
      </c>
      <c r="H22" s="7">
        <v>3169449.33</v>
      </c>
      <c r="I22" s="7">
        <v>3169452.7899999996</v>
      </c>
      <c r="J22" s="7">
        <f t="shared" si="9"/>
        <v>2694031.8298827526</v>
      </c>
      <c r="K22" s="26">
        <v>13243.61</v>
      </c>
      <c r="L22" s="26">
        <v>13243.61</v>
      </c>
      <c r="M22" s="26">
        <v>0</v>
      </c>
      <c r="N22" s="26">
        <v>0</v>
      </c>
      <c r="O22" s="26">
        <v>0</v>
      </c>
      <c r="P22" s="26">
        <v>0</v>
      </c>
      <c r="Q22" s="31"/>
      <c r="R22" s="31"/>
      <c r="S22" s="26">
        <v>0</v>
      </c>
      <c r="T22" s="26">
        <v>0</v>
      </c>
      <c r="U22" s="31">
        <v>0</v>
      </c>
      <c r="V22" s="31">
        <v>0</v>
      </c>
      <c r="W22" s="7">
        <f t="shared" si="0"/>
        <v>0</v>
      </c>
      <c r="X22" s="7">
        <f t="shared" si="1"/>
        <v>24643350.74000001</v>
      </c>
      <c r="Y22" s="7">
        <f t="shared" si="2"/>
        <v>20946847.346672896</v>
      </c>
      <c r="Z22" s="7">
        <f t="shared" si="3"/>
        <v>24643360.22000001</v>
      </c>
      <c r="AA22" s="7">
        <f t="shared" si="10"/>
        <v>24656594.350000009</v>
      </c>
      <c r="AB22" s="7">
        <f t="shared" si="11"/>
        <v>20958104.414752465</v>
      </c>
      <c r="AC22" s="7">
        <f t="shared" si="12"/>
        <v>20958104.414752465</v>
      </c>
      <c r="AD22" s="7">
        <f t="shared" si="4"/>
        <v>24656603.830000009</v>
      </c>
      <c r="AE22" s="17"/>
      <c r="AF22" s="7">
        <f t="shared" si="5"/>
        <v>24656594.350000009</v>
      </c>
      <c r="AG22" s="7">
        <f t="shared" si="6"/>
        <v>20960090.956672896</v>
      </c>
      <c r="AH22" s="7">
        <f t="shared" si="7"/>
        <v>20960090.956672896</v>
      </c>
      <c r="AI22" s="7">
        <f t="shared" si="8"/>
        <v>24656603.830000009</v>
      </c>
      <c r="AJ22" s="7"/>
      <c r="AK22" s="13"/>
      <c r="AL22" s="13"/>
    </row>
    <row r="23" spans="1:38" x14ac:dyDescent="0.25">
      <c r="A23" s="5">
        <v>11</v>
      </c>
      <c r="B23" s="5" t="s">
        <v>11</v>
      </c>
      <c r="C23" s="7">
        <v>39180553</v>
      </c>
      <c r="D23" s="9">
        <v>0.84999998589861681</v>
      </c>
      <c r="E23" s="7">
        <v>43231271.259999983</v>
      </c>
      <c r="F23" s="7">
        <v>43231288.049999982</v>
      </c>
      <c r="G23" s="7">
        <v>36746579.961379282</v>
      </c>
      <c r="H23" s="7">
        <v>2619945.96</v>
      </c>
      <c r="I23" s="7">
        <v>2619945.96</v>
      </c>
      <c r="J23" s="7">
        <f t="shared" si="9"/>
        <v>2226954.0290551381</v>
      </c>
      <c r="K23" s="26">
        <v>208750.1</v>
      </c>
      <c r="L23" s="26">
        <v>208750.1</v>
      </c>
      <c r="M23" s="26">
        <v>0</v>
      </c>
      <c r="N23" s="26">
        <v>0</v>
      </c>
      <c r="O23" s="26">
        <v>0</v>
      </c>
      <c r="P23" s="26">
        <v>0</v>
      </c>
      <c r="Q23" s="31"/>
      <c r="R23" s="31"/>
      <c r="S23" s="26">
        <v>0</v>
      </c>
      <c r="T23" s="26">
        <v>0</v>
      </c>
      <c r="U23" s="7">
        <v>0</v>
      </c>
      <c r="V23" s="7">
        <v>0</v>
      </c>
      <c r="W23" s="7">
        <f t="shared" si="0"/>
        <v>0</v>
      </c>
      <c r="X23" s="7">
        <f t="shared" si="1"/>
        <v>45851217.219999984</v>
      </c>
      <c r="Y23" s="7">
        <f t="shared" si="2"/>
        <v>38973533.990434423</v>
      </c>
      <c r="Z23" s="7">
        <f t="shared" si="3"/>
        <v>45851234.009999983</v>
      </c>
      <c r="AA23" s="7">
        <f t="shared" si="10"/>
        <v>46059967.319999985</v>
      </c>
      <c r="AB23" s="7">
        <f t="shared" si="11"/>
        <v>39150971.572490759</v>
      </c>
      <c r="AC23" s="7">
        <f t="shared" si="12"/>
        <v>39150971.572490759</v>
      </c>
      <c r="AD23" s="7">
        <f t="shared" si="4"/>
        <v>46059984.109999985</v>
      </c>
      <c r="AE23" s="17"/>
      <c r="AF23" s="7">
        <f t="shared" si="5"/>
        <v>46059967.319999985</v>
      </c>
      <c r="AG23" s="7">
        <f t="shared" si="6"/>
        <v>39182284.090434425</v>
      </c>
      <c r="AH23" s="7">
        <f t="shared" si="7"/>
        <v>39182284.090434425</v>
      </c>
      <c r="AI23" s="7">
        <f t="shared" si="8"/>
        <v>46059984.109999985</v>
      </c>
      <c r="AJ23" s="7"/>
      <c r="AK23" s="13"/>
      <c r="AL23" s="13"/>
    </row>
    <row r="24" spans="1:38" x14ac:dyDescent="0.25">
      <c r="A24" s="5">
        <v>12</v>
      </c>
      <c r="B24" s="5" t="s">
        <v>13</v>
      </c>
      <c r="C24" s="7">
        <v>40715710</v>
      </c>
      <c r="D24" s="9">
        <v>0.84999998747412253</v>
      </c>
      <c r="E24" s="7">
        <v>47879015.549999997</v>
      </c>
      <c r="F24" s="7">
        <v>47879015.550000004</v>
      </c>
      <c r="G24" s="7">
        <v>40697162.617773317</v>
      </c>
      <c r="H24" s="7">
        <v>0</v>
      </c>
      <c r="I24" s="7">
        <v>0</v>
      </c>
      <c r="J24" s="7">
        <f t="shared" si="9"/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31"/>
      <c r="R24" s="31"/>
      <c r="S24" s="26">
        <v>0</v>
      </c>
      <c r="T24" s="26">
        <v>0</v>
      </c>
      <c r="U24" s="7">
        <v>0</v>
      </c>
      <c r="V24" s="7">
        <v>0</v>
      </c>
      <c r="W24" s="7">
        <f t="shared" si="0"/>
        <v>0</v>
      </c>
      <c r="X24" s="7">
        <f t="shared" si="1"/>
        <v>47879015.549999997</v>
      </c>
      <c r="Y24" s="7">
        <f t="shared" si="2"/>
        <v>40697162.617773317</v>
      </c>
      <c r="Z24" s="7">
        <f t="shared" si="3"/>
        <v>47879015.550000004</v>
      </c>
      <c r="AA24" s="7">
        <f t="shared" si="10"/>
        <v>47879015.549999997</v>
      </c>
      <c r="AB24" s="7">
        <f t="shared" si="11"/>
        <v>40697162.617773317</v>
      </c>
      <c r="AC24" s="7">
        <f t="shared" si="12"/>
        <v>40697162.617773317</v>
      </c>
      <c r="AD24" s="7">
        <f t="shared" si="4"/>
        <v>47879015.550000004</v>
      </c>
      <c r="AE24" s="17"/>
      <c r="AF24" s="7">
        <f t="shared" si="5"/>
        <v>47879015.549999997</v>
      </c>
      <c r="AG24" s="7">
        <f t="shared" si="6"/>
        <v>40697162.617773317</v>
      </c>
      <c r="AH24" s="7">
        <f t="shared" si="7"/>
        <v>40697162.617773317</v>
      </c>
      <c r="AI24" s="7">
        <f t="shared" si="8"/>
        <v>47879015.550000004</v>
      </c>
      <c r="AJ24" s="7"/>
      <c r="AK24" s="28"/>
      <c r="AL24" s="28"/>
    </row>
    <row r="25" spans="1:38" x14ac:dyDescent="0.25">
      <c r="A25" s="5">
        <v>13</v>
      </c>
      <c r="B25" s="5" t="s">
        <v>44</v>
      </c>
      <c r="C25" s="7">
        <v>199954500</v>
      </c>
      <c r="D25" s="9">
        <v>1</v>
      </c>
      <c r="E25" s="7">
        <v>17903940.110000007</v>
      </c>
      <c r="F25" s="7">
        <v>14522004.020000003</v>
      </c>
      <c r="G25" s="7">
        <v>17903940.109999999</v>
      </c>
      <c r="H25" s="7">
        <v>127428166.52999993</v>
      </c>
      <c r="I25" s="7">
        <v>115121274.58999999</v>
      </c>
      <c r="J25" s="7">
        <f t="shared" si="9"/>
        <v>127428166.52999993</v>
      </c>
      <c r="K25" s="26">
        <v>46725583.909999989</v>
      </c>
      <c r="L25" s="26">
        <v>41739088.32</v>
      </c>
      <c r="M25" s="26">
        <v>0</v>
      </c>
      <c r="N25" s="26">
        <v>0</v>
      </c>
      <c r="O25" s="26">
        <v>0</v>
      </c>
      <c r="P25" s="26">
        <v>0</v>
      </c>
      <c r="Q25" s="32">
        <f>5646218.47+17110031.52+13071397.96-321078.3175</f>
        <v>35506569.6325</v>
      </c>
      <c r="R25" s="32">
        <f>5646218.47+16049393.81+12912960.96-300648.370801005</f>
        <v>34307924.869199</v>
      </c>
      <c r="S25" s="29">
        <f>31456073.11-17110031.52-13071397.96+321078.3175</f>
        <v>1595721.9474999988</v>
      </c>
      <c r="T25" s="29">
        <f>29921044.63-16049393.81-12912960.96+300648.370801005</f>
        <v>1259338.2308010026</v>
      </c>
      <c r="U25" s="7">
        <v>239109</v>
      </c>
      <c r="V25" s="7">
        <v>211444</v>
      </c>
      <c r="W25" s="7">
        <f t="shared" si="0"/>
        <v>1834830.9474999988</v>
      </c>
      <c r="X25" s="7">
        <f t="shared" si="1"/>
        <v>145332106.63999993</v>
      </c>
      <c r="Y25" s="7">
        <f t="shared" si="2"/>
        <v>145332106.63999993</v>
      </c>
      <c r="Z25" s="7">
        <f t="shared" si="3"/>
        <v>129643278.60999998</v>
      </c>
      <c r="AA25" s="7">
        <f t="shared" si="10"/>
        <v>227564260.18249992</v>
      </c>
      <c r="AB25" s="7">
        <f t="shared" si="11"/>
        <v>227564260.18249992</v>
      </c>
      <c r="AC25" s="7">
        <f t="shared" si="12"/>
        <v>227564260.18249992</v>
      </c>
      <c r="AD25" s="7">
        <f t="shared" si="4"/>
        <v>205690291.79919899</v>
      </c>
      <c r="AE25" s="17"/>
      <c r="AF25" s="7">
        <f t="shared" si="5"/>
        <v>227564260.18249992</v>
      </c>
      <c r="AG25" s="7">
        <f t="shared" si="6"/>
        <v>227564260.18249992</v>
      </c>
      <c r="AH25" s="7">
        <f t="shared" si="7"/>
        <v>227564260.18249992</v>
      </c>
      <c r="AI25" s="7">
        <f t="shared" si="8"/>
        <v>205690291.79919899</v>
      </c>
      <c r="AJ25" s="7"/>
      <c r="AK25" s="13"/>
      <c r="AL25" s="13"/>
    </row>
    <row r="26" spans="1:38" x14ac:dyDescent="0.25">
      <c r="A26" s="5">
        <v>14</v>
      </c>
      <c r="B26" s="5" t="s">
        <v>45</v>
      </c>
      <c r="C26" s="7">
        <v>22489087</v>
      </c>
      <c r="D26" s="9">
        <v>1</v>
      </c>
      <c r="E26" s="7">
        <v>3223542.24</v>
      </c>
      <c r="F26" s="7">
        <v>3109553.9000000004</v>
      </c>
      <c r="G26" s="7">
        <v>3223542.24</v>
      </c>
      <c r="H26" s="7">
        <v>23064256.259999998</v>
      </c>
      <c r="I26" s="7">
        <v>22516416.799999997</v>
      </c>
      <c r="J26" s="7">
        <f t="shared" si="9"/>
        <v>23064256.259999998</v>
      </c>
      <c r="K26" s="26">
        <v>3371517.5999999996</v>
      </c>
      <c r="L26" s="26">
        <v>3320679.0100000002</v>
      </c>
      <c r="M26" s="26">
        <v>0</v>
      </c>
      <c r="N26" s="26">
        <v>0</v>
      </c>
      <c r="O26" s="26">
        <v>0</v>
      </c>
      <c r="P26" s="26">
        <v>0</v>
      </c>
      <c r="Q26" s="31"/>
      <c r="R26" s="31"/>
      <c r="S26" s="26">
        <v>675288.13</v>
      </c>
      <c r="T26" s="26">
        <v>675288.13</v>
      </c>
      <c r="U26" s="7">
        <v>0</v>
      </c>
      <c r="V26" s="7">
        <v>0</v>
      </c>
      <c r="W26" s="7">
        <f t="shared" si="0"/>
        <v>675288.13</v>
      </c>
      <c r="X26" s="7">
        <f t="shared" si="1"/>
        <v>26287798.5</v>
      </c>
      <c r="Y26" s="7">
        <f t="shared" si="2"/>
        <v>26287798.5</v>
      </c>
      <c r="Z26" s="7">
        <f t="shared" si="3"/>
        <v>25625970.699999996</v>
      </c>
      <c r="AA26" s="7">
        <f t="shared" si="10"/>
        <v>29659316.100000001</v>
      </c>
      <c r="AB26" s="7">
        <f t="shared" si="11"/>
        <v>29659316.100000001</v>
      </c>
      <c r="AC26" s="7">
        <f t="shared" si="12"/>
        <v>25862450.049999997</v>
      </c>
      <c r="AD26" s="7">
        <f t="shared" si="4"/>
        <v>28946649.709999997</v>
      </c>
      <c r="AE26" s="17"/>
      <c r="AF26" s="7">
        <f t="shared" si="5"/>
        <v>29659316.100000001</v>
      </c>
      <c r="AG26" s="7">
        <f t="shared" si="6"/>
        <v>29659316.100000001</v>
      </c>
      <c r="AH26" s="7">
        <f t="shared" si="7"/>
        <v>25862450.049999997</v>
      </c>
      <c r="AI26" s="7">
        <f t="shared" si="8"/>
        <v>28946649.709999997</v>
      </c>
      <c r="AJ26" s="7"/>
      <c r="AK26" s="13"/>
      <c r="AL26" s="13"/>
    </row>
    <row r="27" spans="1:38" x14ac:dyDescent="0.25">
      <c r="A27" s="5">
        <v>15</v>
      </c>
      <c r="B27" s="5" t="s">
        <v>13</v>
      </c>
      <c r="C27" s="7">
        <v>60000000</v>
      </c>
      <c r="D27" s="9">
        <v>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f t="shared" si="9"/>
        <v>0</v>
      </c>
      <c r="K27" s="26">
        <v>60000000</v>
      </c>
      <c r="L27" s="26">
        <v>60000000</v>
      </c>
      <c r="M27" s="26">
        <v>0</v>
      </c>
      <c r="N27" s="26">
        <v>0</v>
      </c>
      <c r="O27" s="26">
        <v>0</v>
      </c>
      <c r="P27" s="26">
        <v>0</v>
      </c>
      <c r="Q27" s="7"/>
      <c r="R27" s="7"/>
      <c r="S27" s="26">
        <v>0</v>
      </c>
      <c r="T27" s="26">
        <v>0</v>
      </c>
      <c r="U27" s="7">
        <v>0</v>
      </c>
      <c r="V27" s="7">
        <v>0</v>
      </c>
      <c r="W27" s="7">
        <f t="shared" si="0"/>
        <v>0</v>
      </c>
      <c r="X27" s="7">
        <f t="shared" si="1"/>
        <v>0</v>
      </c>
      <c r="Y27" s="7">
        <f t="shared" si="2"/>
        <v>0</v>
      </c>
      <c r="Z27" s="7">
        <f t="shared" si="3"/>
        <v>0</v>
      </c>
      <c r="AA27" s="7">
        <f t="shared" si="10"/>
        <v>60000000</v>
      </c>
      <c r="AB27" s="7">
        <f t="shared" si="11"/>
        <v>60000000</v>
      </c>
      <c r="AC27" s="7">
        <f t="shared" si="12"/>
        <v>60000000</v>
      </c>
      <c r="AD27" s="7">
        <f t="shared" si="4"/>
        <v>60000000</v>
      </c>
      <c r="AE27" s="17"/>
      <c r="AF27" s="7">
        <f t="shared" si="5"/>
        <v>60000000</v>
      </c>
      <c r="AG27" s="7">
        <f t="shared" si="6"/>
        <v>60000000</v>
      </c>
      <c r="AH27" s="7">
        <f t="shared" si="7"/>
        <v>60000000</v>
      </c>
      <c r="AI27" s="7">
        <f t="shared" si="8"/>
        <v>60000000</v>
      </c>
      <c r="AJ27" s="7"/>
      <c r="AK27" s="28"/>
      <c r="AL27" s="28"/>
    </row>
    <row r="28" spans="1:38" x14ac:dyDescent="0.25">
      <c r="A28" s="56" t="s">
        <v>46</v>
      </c>
      <c r="B28" s="57"/>
      <c r="C28" s="10">
        <f>SUMIF($B$6:$B$27,"ERAF",C6:C27)</f>
        <v>2465883158</v>
      </c>
      <c r="D28" s="11"/>
      <c r="E28" s="10">
        <f>SUMIF($B$6:$B$27,"ERAF",E6:E27)</f>
        <v>2336519044.4099994</v>
      </c>
      <c r="F28" s="10">
        <f t="shared" ref="F28:T28" si="13">SUMIF($B$6:$B$27,"ERAF",F6:F27)</f>
        <v>1972166991.53</v>
      </c>
      <c r="G28" s="10">
        <f t="shared" si="13"/>
        <v>1986074352.023952</v>
      </c>
      <c r="H28" s="10">
        <f t="shared" si="13"/>
        <v>416551641.20000011</v>
      </c>
      <c r="I28" s="10">
        <f t="shared" si="13"/>
        <v>335729573.51000005</v>
      </c>
      <c r="J28" s="10">
        <f t="shared" si="13"/>
        <v>354068697.12182605</v>
      </c>
      <c r="K28" s="10">
        <f t="shared" si="13"/>
        <v>212285584.74000004</v>
      </c>
      <c r="L28" s="10">
        <f t="shared" si="13"/>
        <v>188183314.30000001</v>
      </c>
      <c r="M28" s="10">
        <f t="shared" si="13"/>
        <v>2600102.29</v>
      </c>
      <c r="N28" s="10">
        <f t="shared" si="13"/>
        <v>1197237.67</v>
      </c>
      <c r="O28" s="10">
        <f t="shared" si="13"/>
        <v>583630.07000000007</v>
      </c>
      <c r="P28" s="10">
        <f t="shared" si="13"/>
        <v>14796</v>
      </c>
      <c r="Q28" s="10">
        <f t="shared" si="13"/>
        <v>0</v>
      </c>
      <c r="R28" s="10">
        <f t="shared" si="13"/>
        <v>0</v>
      </c>
      <c r="S28" s="10">
        <f t="shared" si="13"/>
        <v>89103174.349999994</v>
      </c>
      <c r="T28" s="10">
        <f t="shared" si="13"/>
        <v>75674132.920000002</v>
      </c>
      <c r="U28" s="10">
        <f>SUMIF($B$6:$B$27,"ERAF",U6:U27)</f>
        <v>109922206</v>
      </c>
      <c r="V28" s="10">
        <f>SUMIF($B$6:$B$27,"ERAF",V6:V27)</f>
        <v>68105551</v>
      </c>
      <c r="W28" s="10">
        <f>SUMIF($B$6:$B$27,"ERAF",W6:W27)</f>
        <v>169170880.50203931</v>
      </c>
      <c r="X28" s="10">
        <f t="shared" ref="X28:AI28" si="14">SUMIF($B$6:$B$27,"ERAF",X6:X27)</f>
        <v>2753070685.6099997</v>
      </c>
      <c r="Y28" s="10">
        <f t="shared" si="14"/>
        <v>2340143049.1457782</v>
      </c>
      <c r="Z28" s="10">
        <f t="shared" si="14"/>
        <v>2307896565.04</v>
      </c>
      <c r="AA28" s="10">
        <f t="shared" si="14"/>
        <v>2968540002.71</v>
      </c>
      <c r="AB28" s="10">
        <f t="shared" si="14"/>
        <v>2523290797.9426742</v>
      </c>
      <c r="AC28" s="10">
        <f t="shared" si="14"/>
        <v>2490722213.6740851</v>
      </c>
      <c r="AD28" s="10">
        <f t="shared" si="14"/>
        <v>2497291913.0100007</v>
      </c>
      <c r="AE28" s="10">
        <f>IF(AC28&lt;AD28,AC28-C28,AD28-C28)</f>
        <v>24839055.67408514</v>
      </c>
      <c r="AF28" s="10">
        <f t="shared" si="14"/>
        <v>2968540002.71</v>
      </c>
      <c r="AG28" s="10">
        <f t="shared" si="14"/>
        <v>2555612366.2457781</v>
      </c>
      <c r="AH28" s="10">
        <f>SUMIF($B$6:$B$27,"ERAF",AH6:AH27)</f>
        <v>2520832110.4537129</v>
      </c>
      <c r="AI28" s="10">
        <f t="shared" si="14"/>
        <v>2497291913.0100007</v>
      </c>
      <c r="AJ28" s="10">
        <f>IF(AH28&lt;AI28,AH28-C28,AI28-C28)</f>
        <v>31408755.010000706</v>
      </c>
      <c r="AK28" s="8"/>
      <c r="AL28" s="8"/>
    </row>
    <row r="29" spans="1:38" x14ac:dyDescent="0.25">
      <c r="A29" s="56" t="s">
        <v>47</v>
      </c>
      <c r="B29" s="57"/>
      <c r="C29" s="10">
        <f>SUMIF($B$6:$B$27,"KF",C6:C27)</f>
        <v>1246634592</v>
      </c>
      <c r="D29" s="11"/>
      <c r="E29" s="10">
        <f>SUMIF($B$6:$B$27,"KF",E6:E27)</f>
        <v>922115772.74999952</v>
      </c>
      <c r="F29" s="10">
        <f t="shared" ref="F29:T29" si="15">SUMIF($B$6:$B$27,"KF",F6:F27)</f>
        <v>740270091.02999997</v>
      </c>
      <c r="G29" s="10">
        <f t="shared" si="15"/>
        <v>783798402.58017159</v>
      </c>
      <c r="H29" s="10">
        <f t="shared" si="15"/>
        <v>407136001.14999992</v>
      </c>
      <c r="I29" s="10">
        <f t="shared" si="15"/>
        <v>317649793.23000002</v>
      </c>
      <c r="J29" s="10">
        <f t="shared" si="15"/>
        <v>346065599.21752846</v>
      </c>
      <c r="K29" s="10">
        <f t="shared" si="15"/>
        <v>342617214.64999998</v>
      </c>
      <c r="L29" s="10">
        <f t="shared" si="15"/>
        <v>293157798.20999998</v>
      </c>
      <c r="M29" s="10">
        <f t="shared" si="15"/>
        <v>35433877.439999998</v>
      </c>
      <c r="N29" s="10">
        <f t="shared" si="15"/>
        <v>30118795.82</v>
      </c>
      <c r="O29" s="10">
        <f t="shared" si="15"/>
        <v>0</v>
      </c>
      <c r="P29" s="10">
        <f t="shared" si="15"/>
        <v>0</v>
      </c>
      <c r="Q29" s="10">
        <f t="shared" si="15"/>
        <v>-6074773.8099999996</v>
      </c>
      <c r="R29" s="10">
        <f t="shared" si="15"/>
        <v>-4502014.87</v>
      </c>
      <c r="S29" s="10">
        <f t="shared" si="15"/>
        <v>17271491.629999999</v>
      </c>
      <c r="T29" s="10">
        <f t="shared" si="15"/>
        <v>13495043.75</v>
      </c>
      <c r="U29" s="10">
        <f>SUMIF($B$6:$B$27,"KF",U6:U27)</f>
        <v>17413134.979999997</v>
      </c>
      <c r="V29" s="10">
        <f>SUMIF($B$6:$B$27,"KF",V6:V27)</f>
        <v>14355455.93</v>
      </c>
      <c r="W29" s="10">
        <f>SUMIF($B$6:$B$27,"KF",W6:W27)</f>
        <v>29481932.470362846</v>
      </c>
      <c r="X29" s="10">
        <f t="shared" ref="X29:AI29" si="16">SUMIF($B$6:$B$27,"KF",X6:X27)</f>
        <v>1329251773.8999996</v>
      </c>
      <c r="Y29" s="10">
        <f t="shared" si="16"/>
        <v>1129864001.7977002</v>
      </c>
      <c r="Z29" s="10">
        <f t="shared" si="16"/>
        <v>1057919884.26</v>
      </c>
      <c r="AA29" s="10">
        <f t="shared" si="16"/>
        <v>1701228092.1799996</v>
      </c>
      <c r="AB29" s="10">
        <f t="shared" si="16"/>
        <v>1455043871.1076429</v>
      </c>
      <c r="AC29" s="10">
        <f t="shared" si="16"/>
        <v>1306293805.2385006</v>
      </c>
      <c r="AD29" s="10">
        <f t="shared" si="16"/>
        <v>1376694463.4199998</v>
      </c>
      <c r="AE29" s="10">
        <f>IF(AC29&lt;AD29,AC29-C29,AD29-C29)</f>
        <v>59659213.238500595</v>
      </c>
      <c r="AF29" s="10">
        <f t="shared" si="16"/>
        <v>1701228092.1799996</v>
      </c>
      <c r="AG29" s="10">
        <f t="shared" si="16"/>
        <v>1501840320.0777001</v>
      </c>
      <c r="AH29" s="10">
        <f t="shared" si="16"/>
        <v>1321185888.6627443</v>
      </c>
      <c r="AI29" s="10">
        <f t="shared" si="16"/>
        <v>1376694463.4199998</v>
      </c>
      <c r="AJ29" s="10">
        <f t="shared" ref="AJ29:AJ34" si="17">IF(AH29&lt;AI29,AH29-C29,AI29-C29)</f>
        <v>74551296.662744284</v>
      </c>
      <c r="AK29" s="8"/>
      <c r="AL29" s="8"/>
    </row>
    <row r="30" spans="1:38" x14ac:dyDescent="0.25">
      <c r="A30" s="56" t="s">
        <v>48</v>
      </c>
      <c r="B30" s="57"/>
      <c r="C30" s="10">
        <f>SUMIF($B$6:$B$27,"ESF",C6:C27)</f>
        <v>647694186</v>
      </c>
      <c r="D30" s="11"/>
      <c r="E30" s="10">
        <f>SUMIF($B$6:$B$27,"ESF",E6:E27)</f>
        <v>593051727.10000002</v>
      </c>
      <c r="F30" s="10">
        <f t="shared" ref="F30:T30" si="18">SUMIF($B$6:$B$27,"ESF",F6:F27)</f>
        <v>565675771.15999997</v>
      </c>
      <c r="G30" s="10">
        <f t="shared" si="18"/>
        <v>504149452.67896622</v>
      </c>
      <c r="H30" s="10">
        <f t="shared" si="18"/>
        <v>138158182.47999999</v>
      </c>
      <c r="I30" s="10">
        <f t="shared" si="18"/>
        <v>135063645.16</v>
      </c>
      <c r="J30" s="10">
        <f t="shared" si="18"/>
        <v>117434355.03159213</v>
      </c>
      <c r="K30" s="10">
        <f t="shared" si="18"/>
        <v>32772747.639999993</v>
      </c>
      <c r="L30" s="10">
        <f t="shared" si="18"/>
        <v>32730675.459999997</v>
      </c>
      <c r="M30" s="10">
        <f t="shared" si="18"/>
        <v>1640751.1099999999</v>
      </c>
      <c r="N30" s="10">
        <f t="shared" si="18"/>
        <v>1640751.1099999999</v>
      </c>
      <c r="O30" s="10">
        <f t="shared" si="18"/>
        <v>41755.039999999994</v>
      </c>
      <c r="P30" s="10">
        <f t="shared" si="18"/>
        <v>41755.039999999994</v>
      </c>
      <c r="Q30" s="10">
        <f t="shared" si="18"/>
        <v>0</v>
      </c>
      <c r="R30" s="10">
        <f t="shared" si="18"/>
        <v>0</v>
      </c>
      <c r="S30" s="10">
        <f t="shared" si="18"/>
        <v>947869.71</v>
      </c>
      <c r="T30" s="10">
        <f t="shared" si="18"/>
        <v>547986.05999999982</v>
      </c>
      <c r="U30" s="10">
        <f>SUMIF($B$6:$B$27,"ESF",U6:U27)</f>
        <v>699646.7</v>
      </c>
      <c r="V30" s="10">
        <f>SUMIF($B$6:$B$27,"ESF",V6:V27)</f>
        <v>696470.84000000008</v>
      </c>
      <c r="W30" s="10">
        <f>SUMIF($B$6:$B$27,"ESF",W6:W27)</f>
        <v>1400388.8230023715</v>
      </c>
      <c r="X30" s="10">
        <f t="shared" ref="X30:AI30" si="19">SUMIF($B$6:$B$27,"ESF",X6:X27)</f>
        <v>731209909.57999992</v>
      </c>
      <c r="Y30" s="10">
        <f t="shared" si="19"/>
        <v>621583807.7105583</v>
      </c>
      <c r="Z30" s="10">
        <f t="shared" si="19"/>
        <v>700739416.31999993</v>
      </c>
      <c r="AA30" s="10">
        <f t="shared" si="19"/>
        <v>765665163.37</v>
      </c>
      <c r="AB30" s="10">
        <f t="shared" si="19"/>
        <v>650870767.68440795</v>
      </c>
      <c r="AC30" s="10">
        <f t="shared" si="19"/>
        <v>650870767.68440795</v>
      </c>
      <c r="AD30" s="10">
        <f t="shared" si="19"/>
        <v>735152597.92999995</v>
      </c>
      <c r="AE30" s="10">
        <f t="shared" ref="AE30:AE34" si="20">IF(AC30&lt;AD30,AC30-C30,AD30-C30)</f>
        <v>3176581.6844079494</v>
      </c>
      <c r="AF30" s="10">
        <f t="shared" si="19"/>
        <v>765665163.37</v>
      </c>
      <c r="AG30" s="10">
        <f t="shared" si="19"/>
        <v>656039061.50055826</v>
      </c>
      <c r="AH30" s="10">
        <f t="shared" si="19"/>
        <v>656039061.50055826</v>
      </c>
      <c r="AI30" s="10">
        <f t="shared" si="19"/>
        <v>735152597.92999995</v>
      </c>
      <c r="AJ30" s="10">
        <f t="shared" si="17"/>
        <v>8344875.5005582571</v>
      </c>
      <c r="AK30" s="8"/>
      <c r="AL30" s="8"/>
    </row>
    <row r="31" spans="1:38" x14ac:dyDescent="0.25">
      <c r="A31" s="56" t="s">
        <v>49</v>
      </c>
      <c r="B31" s="57"/>
      <c r="C31" s="10">
        <f>SUMIF($B$6:$B$27,"JNI/ESF",C6:C27)</f>
        <v>58021278</v>
      </c>
      <c r="D31" s="11"/>
      <c r="E31" s="10">
        <f>SUMIF($B$6:$B$27,"JNI/ESF",E6:E27)</f>
        <v>61776326.620000027</v>
      </c>
      <c r="F31" s="10">
        <f t="shared" ref="F31:T31" si="21">SUMIF($B$6:$B$27,"JNI/ESF",F6:F27)</f>
        <v>56899378.310000017</v>
      </c>
      <c r="G31" s="10">
        <f t="shared" si="21"/>
        <v>56767415.615756921</v>
      </c>
      <c r="H31" s="10">
        <f t="shared" si="21"/>
        <v>386850.54000000021</v>
      </c>
      <c r="I31" s="10">
        <f t="shared" si="21"/>
        <v>386850.53999999957</v>
      </c>
      <c r="J31" s="10">
        <f t="shared" si="21"/>
        <v>355484.26609052788</v>
      </c>
      <c r="K31" s="10">
        <f t="shared" si="21"/>
        <v>1158147.6200000001</v>
      </c>
      <c r="L31" s="10">
        <f t="shared" si="21"/>
        <v>1158147.6199999996</v>
      </c>
      <c r="M31" s="10">
        <f t="shared" si="21"/>
        <v>0</v>
      </c>
      <c r="N31" s="10">
        <f t="shared" si="21"/>
        <v>0</v>
      </c>
      <c r="O31" s="10">
        <f t="shared" si="21"/>
        <v>0</v>
      </c>
      <c r="P31" s="10">
        <f t="shared" si="21"/>
        <v>0</v>
      </c>
      <c r="Q31" s="10">
        <f t="shared" si="21"/>
        <v>0</v>
      </c>
      <c r="R31" s="10">
        <f t="shared" si="21"/>
        <v>0</v>
      </c>
      <c r="S31" s="10">
        <f t="shared" si="21"/>
        <v>0</v>
      </c>
      <c r="T31" s="10">
        <f t="shared" si="21"/>
        <v>0</v>
      </c>
      <c r="U31" s="10">
        <f>SUMIF($B$6:$B$27,"JNI/ESF",U6:U27)</f>
        <v>0</v>
      </c>
      <c r="V31" s="10">
        <f>SUMIF($B$6:$B$27,"JNI/ESF",V6:V27)</f>
        <v>0</v>
      </c>
      <c r="W31" s="10">
        <f>SUMIF($B$6:$B$27,"JNI/ESF",W6:W27)</f>
        <v>0</v>
      </c>
      <c r="X31" s="10">
        <f t="shared" ref="X31:AI31" si="22">SUMIF($B$6:$B$27,"JNI/ESF",X6:X27)</f>
        <v>62163177.160000026</v>
      </c>
      <c r="Y31" s="10">
        <f t="shared" si="22"/>
        <v>57122899.881847449</v>
      </c>
      <c r="Z31" s="10">
        <f t="shared" si="22"/>
        <v>57286228.850000016</v>
      </c>
      <c r="AA31" s="10">
        <f t="shared" si="22"/>
        <v>63321324.780000024</v>
      </c>
      <c r="AB31" s="10">
        <f t="shared" si="22"/>
        <v>58187143.599124387</v>
      </c>
      <c r="AC31" s="10">
        <f t="shared" si="22"/>
        <v>58187143.599124387</v>
      </c>
      <c r="AD31" s="10">
        <f t="shared" si="22"/>
        <v>58444376.470000014</v>
      </c>
      <c r="AE31" s="10">
        <f t="shared" si="20"/>
        <v>165865.59912438691</v>
      </c>
      <c r="AF31" s="10">
        <f t="shared" si="22"/>
        <v>63321324.780000024</v>
      </c>
      <c r="AG31" s="10">
        <f t="shared" si="22"/>
        <v>58281047.501847446</v>
      </c>
      <c r="AH31" s="10">
        <f t="shared" si="22"/>
        <v>58281047.501847446</v>
      </c>
      <c r="AI31" s="10">
        <f t="shared" si="22"/>
        <v>58444376.470000014</v>
      </c>
      <c r="AJ31" s="10">
        <f t="shared" si="17"/>
        <v>259769.50184744596</v>
      </c>
      <c r="AK31" s="8"/>
      <c r="AL31" s="8"/>
    </row>
    <row r="32" spans="1:38" x14ac:dyDescent="0.25">
      <c r="A32" s="56" t="s">
        <v>44</v>
      </c>
      <c r="B32" s="57"/>
      <c r="C32" s="10">
        <f>SUMIF($B$6:$B$27,"R-EU ERAF",C6:C27)</f>
        <v>199954500</v>
      </c>
      <c r="D32" s="11"/>
      <c r="E32" s="10">
        <f>SUMIF($B$6:$B$27,"R-EU ERAF",E6:E27)</f>
        <v>17903940.110000007</v>
      </c>
      <c r="F32" s="10">
        <f t="shared" ref="F32:T32" si="23">SUMIF($B$6:$B$27,"R-EU ERAF",F6:F27)</f>
        <v>14522004.020000003</v>
      </c>
      <c r="G32" s="10">
        <f t="shared" si="23"/>
        <v>17903940.109999999</v>
      </c>
      <c r="H32" s="10">
        <f t="shared" si="23"/>
        <v>127428166.52999993</v>
      </c>
      <c r="I32" s="10">
        <f t="shared" si="23"/>
        <v>115121274.58999999</v>
      </c>
      <c r="J32" s="10">
        <f t="shared" si="23"/>
        <v>127428166.52999993</v>
      </c>
      <c r="K32" s="10">
        <f t="shared" si="23"/>
        <v>46725583.909999989</v>
      </c>
      <c r="L32" s="10">
        <f t="shared" si="23"/>
        <v>41739088.32</v>
      </c>
      <c r="M32" s="10">
        <f t="shared" si="23"/>
        <v>0</v>
      </c>
      <c r="N32" s="10">
        <f t="shared" si="23"/>
        <v>0</v>
      </c>
      <c r="O32" s="10">
        <f t="shared" si="23"/>
        <v>0</v>
      </c>
      <c r="P32" s="10">
        <f t="shared" si="23"/>
        <v>0</v>
      </c>
      <c r="Q32" s="10">
        <f t="shared" si="23"/>
        <v>35506569.6325</v>
      </c>
      <c r="R32" s="10">
        <f t="shared" si="23"/>
        <v>34307924.869199</v>
      </c>
      <c r="S32" s="10">
        <f t="shared" si="23"/>
        <v>1595721.9474999988</v>
      </c>
      <c r="T32" s="10">
        <f t="shared" si="23"/>
        <v>1259338.2308010026</v>
      </c>
      <c r="U32" s="10">
        <f>SUMIF($B$6:$B$27,"R-EU ERAF",U6:U27)</f>
        <v>239109</v>
      </c>
      <c r="V32" s="10">
        <f>SUMIF($B$6:$B$27,"R-EU ERAF",V6:V27)</f>
        <v>211444</v>
      </c>
      <c r="W32" s="10">
        <f>SUMIF($B$6:$B$27,"R-EU ERAF",W6:W27)</f>
        <v>1834830.9474999988</v>
      </c>
      <c r="X32" s="10">
        <f t="shared" ref="X32:AI32" si="24">SUMIF($B$6:$B$27,"R-EU ERAF",X6:X27)</f>
        <v>145332106.63999993</v>
      </c>
      <c r="Y32" s="10">
        <f t="shared" si="24"/>
        <v>145332106.63999993</v>
      </c>
      <c r="Z32" s="10">
        <f t="shared" si="24"/>
        <v>129643278.60999998</v>
      </c>
      <c r="AA32" s="10">
        <f t="shared" si="24"/>
        <v>227564260.18249992</v>
      </c>
      <c r="AB32" s="10">
        <f t="shared" si="24"/>
        <v>227564260.18249992</v>
      </c>
      <c r="AC32" s="10">
        <f>SUMIF($B$6:$B$27,"R-EU ERAF",AC6:AC27)</f>
        <v>227564260.18249992</v>
      </c>
      <c r="AD32" s="10">
        <f>SUMIF($B$6:$B$27,"R-EU ERAF",AD6:AD27)</f>
        <v>205690291.79919899</v>
      </c>
      <c r="AE32" s="30">
        <f t="shared" si="20"/>
        <v>5735791.7991989851</v>
      </c>
      <c r="AF32" s="10">
        <f t="shared" si="24"/>
        <v>227564260.18249992</v>
      </c>
      <c r="AG32" s="10">
        <f t="shared" si="24"/>
        <v>227564260.18249992</v>
      </c>
      <c r="AH32" s="10">
        <f t="shared" si="24"/>
        <v>227564260.18249992</v>
      </c>
      <c r="AI32" s="10">
        <f t="shared" si="24"/>
        <v>205690291.79919899</v>
      </c>
      <c r="AJ32" s="10">
        <f t="shared" si="17"/>
        <v>5735791.7991989851</v>
      </c>
      <c r="AK32" s="8"/>
      <c r="AL32" s="8"/>
    </row>
    <row r="33" spans="1:38" x14ac:dyDescent="0.25">
      <c r="A33" s="56" t="s">
        <v>45</v>
      </c>
      <c r="B33" s="57"/>
      <c r="C33" s="10">
        <f>SUMIF($B$6:$B$27,"R-EU ESF",C6:C27)</f>
        <v>22489087</v>
      </c>
      <c r="D33" s="11"/>
      <c r="E33" s="10">
        <f>SUMIF($B$6:$B$27,"R-EU ESF",E6:E27)</f>
        <v>3223542.24</v>
      </c>
      <c r="F33" s="10">
        <f t="shared" ref="F33:T33" si="25">SUMIF($B$6:$B$27,"R-EU ESF",F6:F27)</f>
        <v>3109553.9000000004</v>
      </c>
      <c r="G33" s="10">
        <f t="shared" si="25"/>
        <v>3223542.24</v>
      </c>
      <c r="H33" s="10">
        <f t="shared" si="25"/>
        <v>23064256.259999998</v>
      </c>
      <c r="I33" s="10">
        <f t="shared" si="25"/>
        <v>22516416.799999997</v>
      </c>
      <c r="J33" s="10">
        <f t="shared" si="25"/>
        <v>23064256.259999998</v>
      </c>
      <c r="K33" s="10">
        <f>SUMIF($B$6:$B$27,"R-EU ESF",K6:K27)</f>
        <v>3371517.5999999996</v>
      </c>
      <c r="L33" s="10">
        <f t="shared" si="25"/>
        <v>3320679.0100000002</v>
      </c>
      <c r="M33" s="10">
        <f t="shared" si="25"/>
        <v>0</v>
      </c>
      <c r="N33" s="10">
        <f t="shared" si="25"/>
        <v>0</v>
      </c>
      <c r="O33" s="10">
        <f t="shared" si="25"/>
        <v>0</v>
      </c>
      <c r="P33" s="10">
        <f t="shared" si="25"/>
        <v>0</v>
      </c>
      <c r="Q33" s="10">
        <f t="shared" si="25"/>
        <v>0</v>
      </c>
      <c r="R33" s="10">
        <f t="shared" si="25"/>
        <v>0</v>
      </c>
      <c r="S33" s="10">
        <f t="shared" si="25"/>
        <v>675288.13</v>
      </c>
      <c r="T33" s="10">
        <f t="shared" si="25"/>
        <v>675288.13</v>
      </c>
      <c r="U33" s="10">
        <f>SUMIF($B$6:$B$27,"R-EU ESF",U6:U27)</f>
        <v>0</v>
      </c>
      <c r="V33" s="10">
        <f>SUMIF($B$6:$B$27,"R-EU ESF",V6:V27)</f>
        <v>0</v>
      </c>
      <c r="W33" s="10">
        <f>SUMIF($B$6:$B$27,"R-EU ESF",W6:W27)</f>
        <v>675288.13</v>
      </c>
      <c r="X33" s="10">
        <f t="shared" ref="X33:AI33" si="26">SUMIF($B$6:$B$27,"R-EU ESF",X6:X27)</f>
        <v>26287798.5</v>
      </c>
      <c r="Y33" s="10">
        <f t="shared" si="26"/>
        <v>26287798.5</v>
      </c>
      <c r="Z33" s="10">
        <f t="shared" si="26"/>
        <v>25625970.699999996</v>
      </c>
      <c r="AA33" s="10">
        <f t="shared" si="26"/>
        <v>29659316.100000001</v>
      </c>
      <c r="AB33" s="10">
        <f t="shared" si="26"/>
        <v>29659316.100000001</v>
      </c>
      <c r="AC33" s="10">
        <f t="shared" si="26"/>
        <v>25862450.049999997</v>
      </c>
      <c r="AD33" s="10">
        <f t="shared" si="26"/>
        <v>28946649.709999997</v>
      </c>
      <c r="AE33" s="10">
        <f t="shared" si="20"/>
        <v>3373363.049999997</v>
      </c>
      <c r="AF33" s="10">
        <f t="shared" si="26"/>
        <v>29659316.100000001</v>
      </c>
      <c r="AG33" s="10">
        <f t="shared" si="26"/>
        <v>29659316.100000001</v>
      </c>
      <c r="AH33" s="10">
        <f t="shared" si="26"/>
        <v>25862450.049999997</v>
      </c>
      <c r="AI33" s="10">
        <f t="shared" si="26"/>
        <v>28946649.709999997</v>
      </c>
      <c r="AJ33" s="10">
        <f t="shared" si="17"/>
        <v>3373363.049999997</v>
      </c>
      <c r="AK33" s="8"/>
      <c r="AL33" s="8"/>
    </row>
    <row r="34" spans="1:38" x14ac:dyDescent="0.25">
      <c r="A34" s="56" t="s">
        <v>7</v>
      </c>
      <c r="B34" s="57"/>
      <c r="C34" s="10">
        <f>C28+C30+C31+C32+C33+C29</f>
        <v>4640676801</v>
      </c>
      <c r="D34" s="11"/>
      <c r="E34" s="10">
        <f>E28+E30+E31+E32+E33+E29</f>
        <v>3934590353.2299986</v>
      </c>
      <c r="F34" s="10">
        <f t="shared" ref="F34:T34" si="27">F28+F30+F31+F32+F33+F29</f>
        <v>3352643789.9499998</v>
      </c>
      <c r="G34" s="10">
        <f t="shared" si="27"/>
        <v>3351917105.2488465</v>
      </c>
      <c r="H34" s="10">
        <f t="shared" si="27"/>
        <v>1112725098.1599998</v>
      </c>
      <c r="I34" s="10">
        <f t="shared" si="27"/>
        <v>926467553.83000004</v>
      </c>
      <c r="J34" s="10">
        <f t="shared" si="27"/>
        <v>968416558.42703712</v>
      </c>
      <c r="K34" s="10">
        <f t="shared" si="27"/>
        <v>638930796.16000009</v>
      </c>
      <c r="L34" s="10">
        <f t="shared" si="27"/>
        <v>560289702.91999996</v>
      </c>
      <c r="M34" s="10">
        <f t="shared" si="27"/>
        <v>39674730.839999996</v>
      </c>
      <c r="N34" s="10">
        <f t="shared" si="27"/>
        <v>32956784.600000001</v>
      </c>
      <c r="O34" s="10">
        <f t="shared" si="27"/>
        <v>625385.1100000001</v>
      </c>
      <c r="P34" s="10">
        <f t="shared" si="27"/>
        <v>56551.039999999994</v>
      </c>
      <c r="Q34" s="10">
        <f t="shared" si="27"/>
        <v>29431795.822500002</v>
      </c>
      <c r="R34" s="10">
        <f t="shared" si="27"/>
        <v>29805909.999198999</v>
      </c>
      <c r="S34" s="10">
        <f>S28+S30+S31+S32+S33+S29</f>
        <v>109593545.76749998</v>
      </c>
      <c r="T34" s="10">
        <f t="shared" si="27"/>
        <v>91651789.090801001</v>
      </c>
      <c r="U34" s="10">
        <f>U28+U30+U31+U32+U33+U29</f>
        <v>128274096.68000001</v>
      </c>
      <c r="V34" s="10">
        <f>V28+V30+V31+V32+V33+V29</f>
        <v>83368921.770000011</v>
      </c>
      <c r="W34" s="10">
        <f>W28+W30+W31+W32+W33+W29</f>
        <v>202563320.87290451</v>
      </c>
      <c r="X34" s="10">
        <f t="shared" ref="X34:AI34" si="28">X28+X30+X31+X32+X33+X29</f>
        <v>5047315451.3899994</v>
      </c>
      <c r="Y34" s="10">
        <f t="shared" si="28"/>
        <v>4320333663.6758842</v>
      </c>
      <c r="Z34" s="10">
        <f t="shared" si="28"/>
        <v>4279111343.7799997</v>
      </c>
      <c r="AA34" s="10">
        <f t="shared" si="28"/>
        <v>5755978159.3224993</v>
      </c>
      <c r="AB34" s="10">
        <f t="shared" si="28"/>
        <v>4944616156.6163492</v>
      </c>
      <c r="AC34" s="10">
        <f t="shared" si="28"/>
        <v>4759500640.4286175</v>
      </c>
      <c r="AD34" s="10">
        <f t="shared" si="28"/>
        <v>4902220292.3391991</v>
      </c>
      <c r="AE34" s="10">
        <f t="shared" si="20"/>
        <v>118823839.42861748</v>
      </c>
      <c r="AF34" s="10">
        <f t="shared" si="28"/>
        <v>5755978159.3224993</v>
      </c>
      <c r="AG34" s="10">
        <f t="shared" si="28"/>
        <v>5028996371.6083832</v>
      </c>
      <c r="AH34" s="10">
        <f t="shared" si="28"/>
        <v>4809764818.3513632</v>
      </c>
      <c r="AI34" s="10">
        <f t="shared" si="28"/>
        <v>4902220292.3391991</v>
      </c>
      <c r="AJ34" s="10">
        <f t="shared" si="17"/>
        <v>169088017.35136318</v>
      </c>
      <c r="AK34" s="8"/>
      <c r="AL34" s="8"/>
    </row>
    <row r="36" spans="1:38" x14ac:dyDescent="0.25">
      <c r="S36" s="8"/>
      <c r="T36" s="8"/>
    </row>
    <row r="37" spans="1:38" x14ac:dyDescent="0.25">
      <c r="K37" s="8"/>
      <c r="L37" s="8"/>
      <c r="S37" s="8"/>
      <c r="T37" s="8"/>
      <c r="AD37" s="8"/>
    </row>
    <row r="38" spans="1:38" x14ac:dyDescent="0.25">
      <c r="K38" s="8"/>
      <c r="L38" s="8"/>
      <c r="S38" s="8"/>
      <c r="T38" s="8"/>
    </row>
    <row r="39" spans="1:38" x14ac:dyDescent="0.25">
      <c r="G39" s="21"/>
      <c r="K39" s="8"/>
      <c r="L39" s="8"/>
      <c r="S39" s="8"/>
      <c r="T39" s="8"/>
    </row>
    <row r="40" spans="1:38" x14ac:dyDescent="0.25">
      <c r="G40" s="22"/>
      <c r="K40" s="8"/>
      <c r="L40" s="8"/>
      <c r="S40" s="8"/>
      <c r="T40" s="8"/>
    </row>
    <row r="41" spans="1:38" x14ac:dyDescent="0.25">
      <c r="K41" s="8"/>
      <c r="L41" s="8"/>
      <c r="S41" s="8"/>
      <c r="T41" s="8"/>
    </row>
    <row r="42" spans="1:38" x14ac:dyDescent="0.25">
      <c r="K42" s="8"/>
      <c r="L42" s="8"/>
    </row>
  </sheetData>
  <autoFilter ref="A4:AK34" xr:uid="{37A68E0E-E251-43B8-B1E1-10E79D578FC3}"/>
  <mergeCells count="20">
    <mergeCell ref="A34:B34"/>
    <mergeCell ref="A28:B28"/>
    <mergeCell ref="A29:B29"/>
    <mergeCell ref="A30:B30"/>
    <mergeCell ref="A31:B31"/>
    <mergeCell ref="A32:B32"/>
    <mergeCell ref="A33:B33"/>
    <mergeCell ref="AF2:AJ3"/>
    <mergeCell ref="K3:L3"/>
    <mergeCell ref="M3:N3"/>
    <mergeCell ref="O3:P3"/>
    <mergeCell ref="Q3:R3"/>
    <mergeCell ref="S3:T3"/>
    <mergeCell ref="U3:V3"/>
    <mergeCell ref="AA2:AE3"/>
    <mergeCell ref="E1:G3"/>
    <mergeCell ref="H1:V1"/>
    <mergeCell ref="H2:J3"/>
    <mergeCell ref="K2:V2"/>
    <mergeCell ref="X2: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F210-09A9-4303-8F9F-991D60F8B928}">
  <dimension ref="A1:AL42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49" sqref="P49"/>
    </sheetView>
  </sheetViews>
  <sheetFormatPr defaultRowHeight="15" outlineLevelCol="1" x14ac:dyDescent="0.25"/>
  <cols>
    <col min="1" max="1" width="12.28515625" customWidth="1"/>
    <col min="2" max="2" width="11.85546875" customWidth="1"/>
    <col min="3" max="4" width="13.85546875" customWidth="1"/>
    <col min="5" max="5" width="18.42578125" customWidth="1" outlineLevel="1"/>
    <col min="6" max="6" width="26.7109375" customWidth="1" outlineLevel="1"/>
    <col min="7" max="7" width="20" customWidth="1" outlineLevel="1"/>
    <col min="8" max="8" width="16.85546875" customWidth="1" outlineLevel="1"/>
    <col min="9" max="9" width="27" customWidth="1" outlineLevel="1"/>
    <col min="10" max="10" width="17.140625" customWidth="1" outlineLevel="1"/>
    <col min="11" max="11" width="20.5703125" customWidth="1" outlineLevel="1" collapsed="1"/>
    <col min="12" max="12" width="31.28515625" customWidth="1" outlineLevel="1"/>
    <col min="13" max="13" width="21.5703125" customWidth="1" outlineLevel="1"/>
    <col min="14" max="14" width="28.42578125" customWidth="1" outlineLevel="1"/>
    <col min="15" max="15" width="23.42578125" customWidth="1" outlineLevel="1"/>
    <col min="16" max="16" width="26.140625" customWidth="1" outlineLevel="1"/>
    <col min="17" max="18" width="16.28515625" customWidth="1" outlineLevel="1"/>
    <col min="19" max="19" width="24.140625" customWidth="1" outlineLevel="1"/>
    <col min="20" max="20" width="28.7109375" customWidth="1" outlineLevel="1"/>
    <col min="21" max="21" width="23.140625" customWidth="1" outlineLevel="1"/>
    <col min="22" max="26" width="27.85546875" customWidth="1" outlineLevel="1"/>
    <col min="27" max="29" width="25.85546875" customWidth="1"/>
    <col min="30" max="31" width="27.85546875" customWidth="1"/>
    <col min="32" max="34" width="23.42578125" hidden="1" customWidth="1" outlineLevel="1"/>
    <col min="35" max="36" width="27.140625" hidden="1" customWidth="1" outlineLevel="1"/>
    <col min="37" max="37" width="9.28515625" collapsed="1"/>
    <col min="38" max="38" width="22.7109375" bestFit="1" customWidth="1"/>
  </cols>
  <sheetData>
    <row r="1" spans="1:38" x14ac:dyDescent="0.25">
      <c r="E1" s="36" t="s">
        <v>21</v>
      </c>
      <c r="F1" s="37"/>
      <c r="G1" s="38"/>
      <c r="H1" s="45" t="s">
        <v>22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2"/>
      <c r="X1" s="12"/>
      <c r="Y1" s="12"/>
      <c r="Z1" s="12"/>
    </row>
    <row r="2" spans="1:38" ht="15" customHeight="1" x14ac:dyDescent="0.25">
      <c r="E2" s="39"/>
      <c r="F2" s="40"/>
      <c r="G2" s="41"/>
      <c r="H2" s="36" t="s">
        <v>23</v>
      </c>
      <c r="I2" s="37"/>
      <c r="J2" s="38"/>
      <c r="K2" s="45" t="s">
        <v>24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6"/>
      <c r="X2" s="36" t="s">
        <v>25</v>
      </c>
      <c r="Y2" s="37"/>
      <c r="Z2" s="38"/>
      <c r="AA2" s="47" t="s">
        <v>26</v>
      </c>
      <c r="AB2" s="48"/>
      <c r="AC2" s="48"/>
      <c r="AD2" s="48"/>
      <c r="AE2" s="52"/>
      <c r="AF2" s="46" t="s">
        <v>27</v>
      </c>
      <c r="AG2" s="46"/>
      <c r="AH2" s="46"/>
      <c r="AI2" s="46"/>
      <c r="AJ2" s="46"/>
    </row>
    <row r="3" spans="1:38" ht="38.25" customHeight="1" x14ac:dyDescent="0.25">
      <c r="E3" s="42"/>
      <c r="F3" s="43"/>
      <c r="G3" s="44"/>
      <c r="H3" s="42"/>
      <c r="I3" s="43"/>
      <c r="J3" s="44"/>
      <c r="K3" s="46" t="s">
        <v>52</v>
      </c>
      <c r="L3" s="46"/>
      <c r="M3" s="47" t="s">
        <v>50</v>
      </c>
      <c r="N3" s="48"/>
      <c r="O3" s="46" t="s">
        <v>51</v>
      </c>
      <c r="P3" s="46"/>
      <c r="Q3" s="49" t="s">
        <v>29</v>
      </c>
      <c r="R3" s="50"/>
      <c r="S3" s="51" t="s">
        <v>30</v>
      </c>
      <c r="T3" s="51"/>
      <c r="U3" s="51" t="s">
        <v>31</v>
      </c>
      <c r="V3" s="51"/>
      <c r="W3" s="15"/>
      <c r="X3" s="42"/>
      <c r="Y3" s="43"/>
      <c r="Z3" s="44"/>
      <c r="AA3" s="53"/>
      <c r="AB3" s="54"/>
      <c r="AC3" s="54"/>
      <c r="AD3" s="54"/>
      <c r="AE3" s="55"/>
      <c r="AF3" s="46"/>
      <c r="AG3" s="46"/>
      <c r="AH3" s="46"/>
      <c r="AI3" s="46"/>
      <c r="AJ3" s="46"/>
    </row>
    <row r="4" spans="1:38" ht="75" x14ac:dyDescent="0.25">
      <c r="A4" s="5" t="s">
        <v>32</v>
      </c>
      <c r="B4" s="5" t="s">
        <v>1</v>
      </c>
      <c r="C4" s="6" t="s">
        <v>33</v>
      </c>
      <c r="D4" s="6" t="s">
        <v>34</v>
      </c>
      <c r="E4" s="6" t="s">
        <v>35</v>
      </c>
      <c r="F4" s="6" t="s">
        <v>36</v>
      </c>
      <c r="G4" s="6" t="s">
        <v>37</v>
      </c>
      <c r="H4" s="6" t="s">
        <v>35</v>
      </c>
      <c r="I4" s="6" t="s">
        <v>36</v>
      </c>
      <c r="J4" s="6" t="s">
        <v>37</v>
      </c>
      <c r="K4" s="6" t="s">
        <v>35</v>
      </c>
      <c r="L4" s="6" t="s">
        <v>36</v>
      </c>
      <c r="M4" s="6" t="s">
        <v>35</v>
      </c>
      <c r="N4" s="6" t="s">
        <v>36</v>
      </c>
      <c r="O4" s="6" t="s">
        <v>35</v>
      </c>
      <c r="P4" s="6" t="s">
        <v>36</v>
      </c>
      <c r="Q4" s="6" t="s">
        <v>35</v>
      </c>
      <c r="R4" s="6" t="s">
        <v>36</v>
      </c>
      <c r="S4" s="6" t="s">
        <v>35</v>
      </c>
      <c r="T4" s="6" t="s">
        <v>36</v>
      </c>
      <c r="U4" s="6" t="s">
        <v>35</v>
      </c>
      <c r="V4" s="6" t="s">
        <v>36</v>
      </c>
      <c r="W4" s="6"/>
      <c r="X4" s="6" t="s">
        <v>35</v>
      </c>
      <c r="Y4" s="6" t="s">
        <v>38</v>
      </c>
      <c r="Z4" s="6" t="s">
        <v>36</v>
      </c>
      <c r="AA4" s="6" t="s">
        <v>35</v>
      </c>
      <c r="AB4" s="6" t="s">
        <v>38</v>
      </c>
      <c r="AC4" s="6" t="s">
        <v>39</v>
      </c>
      <c r="AD4" s="6" t="s">
        <v>36</v>
      </c>
      <c r="AE4" s="6" t="s">
        <v>40</v>
      </c>
      <c r="AF4" s="14" t="s">
        <v>35</v>
      </c>
      <c r="AG4" s="14" t="s">
        <v>38</v>
      </c>
      <c r="AH4" s="14" t="s">
        <v>41</v>
      </c>
      <c r="AI4" s="14" t="s">
        <v>36</v>
      </c>
      <c r="AJ4" s="6" t="s">
        <v>42</v>
      </c>
    </row>
    <row r="5" spans="1:38" x14ac:dyDescent="0.25">
      <c r="A5" s="5">
        <v>1</v>
      </c>
      <c r="B5" s="5">
        <v>2</v>
      </c>
      <c r="C5" s="6">
        <v>3</v>
      </c>
      <c r="D5" s="6">
        <v>4</v>
      </c>
      <c r="E5" s="6">
        <v>5</v>
      </c>
      <c r="F5" s="5">
        <v>6</v>
      </c>
      <c r="G5" s="5">
        <v>7</v>
      </c>
      <c r="H5" s="6">
        <v>8</v>
      </c>
      <c r="I5" s="6">
        <v>9</v>
      </c>
      <c r="J5" s="6">
        <v>10</v>
      </c>
      <c r="K5" s="23">
        <v>11</v>
      </c>
      <c r="L5" s="23">
        <v>12</v>
      </c>
      <c r="M5" s="24">
        <v>13</v>
      </c>
      <c r="N5" s="24">
        <v>14</v>
      </c>
      <c r="O5" s="24">
        <v>15</v>
      </c>
      <c r="P5" s="25">
        <v>16</v>
      </c>
      <c r="Q5" s="18">
        <v>17</v>
      </c>
      <c r="R5" s="19">
        <v>18</v>
      </c>
      <c r="S5" s="19">
        <v>19</v>
      </c>
      <c r="T5" s="19">
        <v>20</v>
      </c>
      <c r="U5" s="6">
        <v>21</v>
      </c>
      <c r="V5" s="6">
        <v>22</v>
      </c>
      <c r="W5" s="6">
        <v>23</v>
      </c>
      <c r="X5" s="6">
        <v>24</v>
      </c>
      <c r="Y5" s="6">
        <v>25</v>
      </c>
      <c r="Z5" s="5">
        <v>26</v>
      </c>
      <c r="AA5" s="5">
        <v>27</v>
      </c>
      <c r="AB5" s="6">
        <v>28</v>
      </c>
      <c r="AC5" s="6">
        <v>29</v>
      </c>
      <c r="AD5" s="6">
        <v>30</v>
      </c>
      <c r="AE5" s="20">
        <v>31</v>
      </c>
      <c r="AF5" s="5">
        <v>32</v>
      </c>
      <c r="AG5" s="6">
        <v>33</v>
      </c>
      <c r="AH5" s="6">
        <v>34</v>
      </c>
      <c r="AI5" s="6">
        <v>35</v>
      </c>
      <c r="AJ5" s="5">
        <v>36</v>
      </c>
    </row>
    <row r="6" spans="1:38" x14ac:dyDescent="0.25">
      <c r="A6" s="5">
        <v>1</v>
      </c>
      <c r="B6" s="5" t="s">
        <v>11</v>
      </c>
      <c r="C6" s="7">
        <v>448221139</v>
      </c>
      <c r="D6" s="9">
        <v>0.84999999848289176</v>
      </c>
      <c r="E6" s="7">
        <v>443820294.52000004</v>
      </c>
      <c r="F6" s="7">
        <v>341805605.99999958</v>
      </c>
      <c r="G6" s="7">
        <v>377265677.8879903</v>
      </c>
      <c r="H6" s="7">
        <v>59296491.64000006</v>
      </c>
      <c r="I6" s="7">
        <v>50993223.610000037</v>
      </c>
      <c r="J6" s="7">
        <f>H6*D6</f>
        <v>50402017.804040857</v>
      </c>
      <c r="K6" s="26">
        <v>18716094.479999993</v>
      </c>
      <c r="L6" s="26">
        <v>15513865.73</v>
      </c>
      <c r="M6" s="26">
        <v>2917049.22</v>
      </c>
      <c r="N6" s="26">
        <v>2574693.6900000004</v>
      </c>
      <c r="O6" s="26">
        <v>21546.38</v>
      </c>
      <c r="P6" s="26">
        <v>0</v>
      </c>
      <c r="Q6" s="7"/>
      <c r="R6" s="7"/>
      <c r="S6" s="26">
        <v>6491888.1199999992</v>
      </c>
      <c r="T6" s="26">
        <v>5536946.0900000008</v>
      </c>
      <c r="U6" s="7">
        <v>81897348</v>
      </c>
      <c r="V6" s="7">
        <v>46270749</v>
      </c>
      <c r="W6" s="7">
        <f>(U6+S6)*D6</f>
        <v>75130850.567903966</v>
      </c>
      <c r="X6" s="7">
        <f>E6+H6</f>
        <v>503116786.16000009</v>
      </c>
      <c r="Y6" s="7">
        <f>G6+J6</f>
        <v>427667695.69203115</v>
      </c>
      <c r="Z6" s="7">
        <f>F6+I6</f>
        <v>392798829.6099996</v>
      </c>
      <c r="AA6" s="7">
        <f>E6+H6+K6+M6+O6+Q6</f>
        <v>524771476.24000013</v>
      </c>
      <c r="AB6" s="7">
        <f>G6+J6+((K6+M6+O6+Q6)*D6)</f>
        <v>446074182.22717863</v>
      </c>
      <c r="AC6" s="7">
        <f>MIN(AB6,C6*1.15)</f>
        <v>446074182.22717863</v>
      </c>
      <c r="AD6" s="7">
        <f>F6+I6+L6+N6+P6+R6</f>
        <v>410887389.02999961</v>
      </c>
      <c r="AE6" s="17"/>
      <c r="AF6" s="7">
        <f t="shared" ref="AF6:AF27" si="0">E6+H6+K6+M6+O6+Q6</f>
        <v>524771476.24000013</v>
      </c>
      <c r="AG6" s="7">
        <f t="shared" ref="AG6:AG27" si="1">G6+J6+((K6+M6+O6+Q6)*100%)</f>
        <v>449322385.77203113</v>
      </c>
      <c r="AH6" s="7">
        <f>MIN(AG6,C6*1.15)</f>
        <v>449322385.77203113</v>
      </c>
      <c r="AI6" s="7">
        <f t="shared" ref="AI6:AI27" si="2">F6+I6+L6+N6+P6+R6</f>
        <v>410887389.02999961</v>
      </c>
      <c r="AJ6" s="7"/>
      <c r="AL6" s="13"/>
    </row>
    <row r="7" spans="1:38" x14ac:dyDescent="0.25">
      <c r="A7" s="5">
        <v>2</v>
      </c>
      <c r="B7" s="5" t="s">
        <v>11</v>
      </c>
      <c r="C7" s="7">
        <v>171083829</v>
      </c>
      <c r="D7" s="9">
        <v>0.8499999997515838</v>
      </c>
      <c r="E7" s="7">
        <v>111469540.91000004</v>
      </c>
      <c r="F7" s="7">
        <v>108881755.36999997</v>
      </c>
      <c r="G7" s="7">
        <v>94749109.650237188</v>
      </c>
      <c r="H7" s="7">
        <v>61516740.900000036</v>
      </c>
      <c r="I7" s="7">
        <v>55733803.649999999</v>
      </c>
      <c r="J7" s="7">
        <f t="shared" ref="J7:J27" si="3">H7*D7</f>
        <v>52289229.749718279</v>
      </c>
      <c r="K7" s="26">
        <v>12334380.220000001</v>
      </c>
      <c r="L7" s="26">
        <v>12067505.6</v>
      </c>
      <c r="M7" s="26">
        <v>7273804.9900000002</v>
      </c>
      <c r="N7" s="26">
        <v>7273447.9699999997</v>
      </c>
      <c r="O7" s="26">
        <v>0</v>
      </c>
      <c r="P7" s="26">
        <v>0</v>
      </c>
      <c r="Q7" s="7"/>
      <c r="R7" s="7"/>
      <c r="S7" s="26">
        <v>2101927.9699999997</v>
      </c>
      <c r="T7" s="26">
        <v>2101927.9700000002</v>
      </c>
      <c r="U7" s="7">
        <v>0</v>
      </c>
      <c r="V7" s="7">
        <v>0</v>
      </c>
      <c r="W7" s="7">
        <f t="shared" ref="W7:W27" si="4">(U7+S7)*D7</f>
        <v>1786638.7739778468</v>
      </c>
      <c r="X7" s="7">
        <f t="shared" ref="X7:X27" si="5">E7+H7</f>
        <v>172986281.81000006</v>
      </c>
      <c r="Y7" s="7">
        <f t="shared" ref="Y7:Y27" si="6">G7+J7</f>
        <v>147038339.39995545</v>
      </c>
      <c r="Z7" s="7">
        <f t="shared" ref="Z7:Z27" si="7">F7+I7</f>
        <v>164615559.01999998</v>
      </c>
      <c r="AA7" s="7">
        <f t="shared" ref="AA7:AA27" si="8">E7+H7+K7+M7+O7+Q7</f>
        <v>192594467.02000007</v>
      </c>
      <c r="AB7" s="7">
        <f t="shared" ref="AB7:AB27" si="9">G7+J7+((K7+M7+O7+Q7)*D7)</f>
        <v>163705296.82358447</v>
      </c>
      <c r="AC7" s="7">
        <f t="shared" ref="AC7:AC27" si="10">MIN(AB7,C7*1.15)</f>
        <v>163705296.82358447</v>
      </c>
      <c r="AD7" s="7">
        <f t="shared" ref="AD7:AD27" si="11">F7+I7+L7+N7+P7+R7</f>
        <v>183956512.58999997</v>
      </c>
      <c r="AE7" s="17"/>
      <c r="AF7" s="7">
        <f t="shared" si="0"/>
        <v>192594467.02000007</v>
      </c>
      <c r="AG7" s="7">
        <f t="shared" si="1"/>
        <v>166646524.60995546</v>
      </c>
      <c r="AH7" s="7">
        <f t="shared" ref="AH7:AH27" si="12">MIN(AG7,C7*1.15)</f>
        <v>166646524.60995546</v>
      </c>
      <c r="AI7" s="7">
        <f t="shared" si="2"/>
        <v>183956512.58999997</v>
      </c>
      <c r="AJ7" s="7"/>
      <c r="AL7" s="13"/>
    </row>
    <row r="8" spans="1:38" x14ac:dyDescent="0.25">
      <c r="A8" s="5">
        <v>3</v>
      </c>
      <c r="B8" s="5" t="s">
        <v>11</v>
      </c>
      <c r="C8" s="7">
        <v>352505296</v>
      </c>
      <c r="D8" s="9">
        <v>0.84999999168097617</v>
      </c>
      <c r="E8" s="7">
        <v>359225672.86999971</v>
      </c>
      <c r="F8" s="7">
        <v>275825647.01000005</v>
      </c>
      <c r="G8" s="7">
        <v>305341819.09154224</v>
      </c>
      <c r="H8" s="7">
        <v>70113807.620000035</v>
      </c>
      <c r="I8" s="7">
        <v>57495154.45000001</v>
      </c>
      <c r="J8" s="7">
        <f t="shared" si="3"/>
        <v>59596735.893721595</v>
      </c>
      <c r="K8" s="26">
        <v>13311988.610000001</v>
      </c>
      <c r="L8" s="26">
        <v>10444046.930000002</v>
      </c>
      <c r="M8" s="26">
        <v>12497847.049999999</v>
      </c>
      <c r="N8" s="26">
        <v>11782068.75</v>
      </c>
      <c r="O8" s="26">
        <v>0</v>
      </c>
      <c r="P8" s="26">
        <v>0</v>
      </c>
      <c r="Q8" s="7"/>
      <c r="R8" s="7"/>
      <c r="S8" s="26">
        <v>4986731.6900000004</v>
      </c>
      <c r="T8" s="26">
        <v>3135301.55</v>
      </c>
      <c r="U8" s="7">
        <v>2953026</v>
      </c>
      <c r="V8" s="7">
        <v>1958595</v>
      </c>
      <c r="W8" s="7">
        <f t="shared" si="4"/>
        <v>6748793.9704489671</v>
      </c>
      <c r="X8" s="7">
        <f t="shared" si="5"/>
        <v>429339480.48999977</v>
      </c>
      <c r="Y8" s="7">
        <f t="shared" si="6"/>
        <v>364938554.98526382</v>
      </c>
      <c r="Z8" s="7">
        <f t="shared" si="7"/>
        <v>333320801.46000004</v>
      </c>
      <c r="AA8" s="7">
        <f t="shared" si="8"/>
        <v>455149316.1499998</v>
      </c>
      <c r="AB8" s="7">
        <f t="shared" si="9"/>
        <v>386876915.08155119</v>
      </c>
      <c r="AC8" s="7">
        <f t="shared" si="10"/>
        <v>386876915.08155119</v>
      </c>
      <c r="AD8" s="7">
        <f t="shared" si="11"/>
        <v>355546917.14000005</v>
      </c>
      <c r="AE8" s="17"/>
      <c r="AF8" s="7">
        <f t="shared" si="0"/>
        <v>455149316.1499998</v>
      </c>
      <c r="AG8" s="7">
        <f t="shared" si="1"/>
        <v>390748390.64526385</v>
      </c>
      <c r="AH8" s="7">
        <f t="shared" si="12"/>
        <v>390748390.64526385</v>
      </c>
      <c r="AI8" s="7">
        <f t="shared" si="2"/>
        <v>355546917.14000005</v>
      </c>
      <c r="AJ8" s="7"/>
      <c r="AL8" s="13"/>
    </row>
    <row r="9" spans="1:38" x14ac:dyDescent="0.25">
      <c r="A9" s="5">
        <v>3</v>
      </c>
      <c r="B9" s="5" t="s">
        <v>12</v>
      </c>
      <c r="C9" s="7">
        <v>17799857</v>
      </c>
      <c r="D9" s="9">
        <v>0.84999996896042596</v>
      </c>
      <c r="E9" s="7">
        <v>19321334.880000006</v>
      </c>
      <c r="F9" s="7">
        <v>19324204.500000004</v>
      </c>
      <c r="G9" s="7">
        <v>16423134.052122734</v>
      </c>
      <c r="H9" s="7">
        <v>1526503.9000000001</v>
      </c>
      <c r="I9" s="7">
        <v>1528264.2699999996</v>
      </c>
      <c r="J9" s="7">
        <f t="shared" si="3"/>
        <v>1297528.2676179693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/>
      <c r="R9" s="7"/>
      <c r="S9" s="7">
        <v>0</v>
      </c>
      <c r="T9" s="7">
        <v>0</v>
      </c>
      <c r="U9" s="7">
        <v>0</v>
      </c>
      <c r="V9" s="7">
        <v>0</v>
      </c>
      <c r="W9" s="7">
        <f t="shared" si="4"/>
        <v>0</v>
      </c>
      <c r="X9" s="7">
        <f t="shared" si="5"/>
        <v>20847838.780000005</v>
      </c>
      <c r="Y9" s="7">
        <f t="shared" si="6"/>
        <v>17720662.319740705</v>
      </c>
      <c r="Z9" s="7">
        <f t="shared" si="7"/>
        <v>20852468.770000003</v>
      </c>
      <c r="AA9" s="7">
        <f t="shared" si="8"/>
        <v>20847838.780000005</v>
      </c>
      <c r="AB9" s="7">
        <f t="shared" si="9"/>
        <v>17720662.319740705</v>
      </c>
      <c r="AC9" s="7">
        <f t="shared" si="10"/>
        <v>17720662.319740705</v>
      </c>
      <c r="AD9" s="7">
        <f t="shared" si="11"/>
        <v>20852468.770000003</v>
      </c>
      <c r="AE9" s="17"/>
      <c r="AF9" s="7">
        <f t="shared" si="0"/>
        <v>20847838.780000005</v>
      </c>
      <c r="AG9" s="7">
        <f t="shared" si="1"/>
        <v>17720662.319740705</v>
      </c>
      <c r="AH9" s="7">
        <f t="shared" si="12"/>
        <v>17720662.319740705</v>
      </c>
      <c r="AI9" s="7">
        <f t="shared" si="2"/>
        <v>20852468.770000003</v>
      </c>
      <c r="AJ9" s="7"/>
      <c r="AL9" s="13"/>
    </row>
    <row r="10" spans="1:38" x14ac:dyDescent="0.25">
      <c r="A10" s="5">
        <v>4</v>
      </c>
      <c r="B10" s="5" t="s">
        <v>11</v>
      </c>
      <c r="C10" s="7">
        <v>290594229</v>
      </c>
      <c r="D10" s="9">
        <v>0.8499999938574142</v>
      </c>
      <c r="E10" s="7">
        <v>236452194.60999995</v>
      </c>
      <c r="F10" s="7">
        <v>206363574.88000008</v>
      </c>
      <c r="G10" s="7">
        <v>201001025.80089143</v>
      </c>
      <c r="H10" s="7">
        <v>67011641.259999953</v>
      </c>
      <c r="I10" s="7">
        <v>60520815.329999968</v>
      </c>
      <c r="J10" s="7">
        <f t="shared" si="3"/>
        <v>56959894.659375206</v>
      </c>
      <c r="K10" s="26">
        <v>7393511.4399999995</v>
      </c>
      <c r="L10" s="26">
        <v>6384616.0900000017</v>
      </c>
      <c r="M10" s="26">
        <v>51029334.970000006</v>
      </c>
      <c r="N10" s="26">
        <v>49921467.190000005</v>
      </c>
      <c r="O10" s="26">
        <v>0</v>
      </c>
      <c r="P10" s="26">
        <v>0</v>
      </c>
      <c r="Q10" s="7"/>
      <c r="R10" s="7"/>
      <c r="S10" s="26">
        <v>2582642.0500000003</v>
      </c>
      <c r="T10" s="26">
        <v>2317811.81</v>
      </c>
      <c r="U10" s="7">
        <v>4179207</v>
      </c>
      <c r="V10" s="7">
        <v>3784902</v>
      </c>
      <c r="W10" s="7">
        <f t="shared" si="4"/>
        <v>5747571.650964763</v>
      </c>
      <c r="X10" s="7">
        <f t="shared" si="5"/>
        <v>303463835.86999989</v>
      </c>
      <c r="Y10" s="7">
        <f t="shared" si="6"/>
        <v>257960920.46026665</v>
      </c>
      <c r="Z10" s="7">
        <f t="shared" si="7"/>
        <v>266884390.21000004</v>
      </c>
      <c r="AA10" s="7">
        <f t="shared" si="8"/>
        <v>361886682.27999991</v>
      </c>
      <c r="AB10" s="7">
        <f t="shared" si="9"/>
        <v>307620339.54989934</v>
      </c>
      <c r="AC10" s="7">
        <f t="shared" si="10"/>
        <v>307620339.54989934</v>
      </c>
      <c r="AD10" s="7">
        <f t="shared" si="11"/>
        <v>323190473.49000001</v>
      </c>
      <c r="AE10" s="17"/>
      <c r="AF10" s="7">
        <f t="shared" si="0"/>
        <v>361886682.27999991</v>
      </c>
      <c r="AG10" s="7">
        <f t="shared" si="1"/>
        <v>316383766.87026668</v>
      </c>
      <c r="AH10" s="7">
        <f t="shared" si="12"/>
        <v>316383766.87026668</v>
      </c>
      <c r="AI10" s="7">
        <f t="shared" si="2"/>
        <v>323190473.49000001</v>
      </c>
      <c r="AJ10" s="7"/>
      <c r="AL10" s="13"/>
    </row>
    <row r="11" spans="1:38" x14ac:dyDescent="0.25">
      <c r="A11" s="5">
        <v>4</v>
      </c>
      <c r="B11" s="5" t="s">
        <v>13</v>
      </c>
      <c r="C11" s="7">
        <v>362637128</v>
      </c>
      <c r="D11" s="9">
        <v>0.84999999660128567</v>
      </c>
      <c r="E11" s="7">
        <v>196706819.29999998</v>
      </c>
      <c r="F11" s="7">
        <v>104633966.11999997</v>
      </c>
      <c r="G11" s="7">
        <v>167200795.74304909</v>
      </c>
      <c r="H11" s="7">
        <v>196815332.31</v>
      </c>
      <c r="I11" s="7">
        <v>135325001.61999997</v>
      </c>
      <c r="J11" s="7">
        <f>H11*D11</f>
        <v>167293031.79458091</v>
      </c>
      <c r="K11" s="26">
        <v>135564837.19999999</v>
      </c>
      <c r="L11" s="26">
        <v>116299238.31</v>
      </c>
      <c r="M11" s="26">
        <v>35433877.439999998</v>
      </c>
      <c r="N11" s="26">
        <v>30118795.82</v>
      </c>
      <c r="O11" s="7">
        <v>0</v>
      </c>
      <c r="P11" s="7">
        <v>0</v>
      </c>
      <c r="Q11" s="7"/>
      <c r="R11" s="7"/>
      <c r="S11" s="26">
        <v>27707233.68</v>
      </c>
      <c r="T11" s="26">
        <v>13526701.1</v>
      </c>
      <c r="U11" s="7">
        <v>579571.76</v>
      </c>
      <c r="V11" s="7">
        <v>484282.87</v>
      </c>
      <c r="W11" s="7">
        <f t="shared" si="4"/>
        <v>24043784.52786123</v>
      </c>
      <c r="X11" s="7">
        <f t="shared" si="5"/>
        <v>393522151.61000001</v>
      </c>
      <c r="Y11" s="7">
        <f t="shared" si="6"/>
        <v>334493827.53762996</v>
      </c>
      <c r="Z11" s="7">
        <f t="shared" si="7"/>
        <v>239958967.73999995</v>
      </c>
      <c r="AA11" s="7">
        <f t="shared" si="8"/>
        <v>564520866.25</v>
      </c>
      <c r="AB11" s="7">
        <f t="shared" si="9"/>
        <v>479842734.40045416</v>
      </c>
      <c r="AC11" s="7">
        <f t="shared" si="10"/>
        <v>417032697.19999999</v>
      </c>
      <c r="AD11" s="7">
        <f t="shared" si="11"/>
        <v>386377001.86999995</v>
      </c>
      <c r="AE11" s="17"/>
      <c r="AF11" s="7">
        <f t="shared" si="0"/>
        <v>564520866.25</v>
      </c>
      <c r="AG11" s="7">
        <f t="shared" si="1"/>
        <v>505492542.17762995</v>
      </c>
      <c r="AH11" s="7">
        <f t="shared" si="12"/>
        <v>417032697.19999999</v>
      </c>
      <c r="AI11" s="7">
        <f t="shared" si="2"/>
        <v>386377001.86999995</v>
      </c>
      <c r="AJ11" s="7"/>
      <c r="AL11" s="28"/>
    </row>
    <row r="12" spans="1:38" x14ac:dyDescent="0.25">
      <c r="A12" s="5">
        <v>5</v>
      </c>
      <c r="B12" s="5" t="s">
        <v>11</v>
      </c>
      <c r="C12" s="7">
        <v>390526470</v>
      </c>
      <c r="D12" s="9">
        <v>0.84996299820999477</v>
      </c>
      <c r="E12" s="7">
        <v>407197858.59999973</v>
      </c>
      <c r="F12" s="7">
        <v>344424577.58000034</v>
      </c>
      <c r="G12" s="7">
        <v>346116262.52235651</v>
      </c>
      <c r="H12" s="7">
        <v>5299981.7099999515</v>
      </c>
      <c r="I12" s="7">
        <v>-3939481.7100000386</v>
      </c>
      <c r="J12" s="7">
        <f t="shared" si="3"/>
        <v>4504788.3446896942</v>
      </c>
      <c r="K12" s="26">
        <v>10766323.339999998</v>
      </c>
      <c r="L12" s="26">
        <v>8869759.6999999993</v>
      </c>
      <c r="M12" s="26">
        <v>8931845.2600000016</v>
      </c>
      <c r="N12" s="26">
        <v>8078236.4400000004</v>
      </c>
      <c r="O12" s="26">
        <v>7610404.3300000001</v>
      </c>
      <c r="P12" s="26">
        <v>7194444.3800000008</v>
      </c>
      <c r="Q12" s="7"/>
      <c r="R12" s="7"/>
      <c r="S12" s="26">
        <v>11745034.51</v>
      </c>
      <c r="T12" s="26">
        <v>9955731.9800000004</v>
      </c>
      <c r="U12" s="7">
        <v>9360801</v>
      </c>
      <c r="V12" s="7">
        <v>7215049</v>
      </c>
      <c r="W12" s="7">
        <f t="shared" si="4"/>
        <v>17939179.229806572</v>
      </c>
      <c r="X12" s="7">
        <f t="shared" si="5"/>
        <v>412497840.3099997</v>
      </c>
      <c r="Y12" s="7">
        <f t="shared" si="6"/>
        <v>350621050.86704618</v>
      </c>
      <c r="Z12" s="7">
        <f t="shared" si="7"/>
        <v>340485095.8700003</v>
      </c>
      <c r="AA12" s="7">
        <f t="shared" si="8"/>
        <v>439806413.23999965</v>
      </c>
      <c r="AB12" s="7">
        <f t="shared" si="9"/>
        <v>373832327.39146531</v>
      </c>
      <c r="AC12" s="7">
        <f t="shared" si="10"/>
        <v>373832327.39146531</v>
      </c>
      <c r="AD12" s="7">
        <f t="shared" si="11"/>
        <v>364627536.39000028</v>
      </c>
      <c r="AE12" s="17"/>
      <c r="AF12" s="7">
        <f t="shared" si="0"/>
        <v>439806413.23999965</v>
      </c>
      <c r="AG12" s="7">
        <f t="shared" si="1"/>
        <v>377929623.79704618</v>
      </c>
      <c r="AH12" s="7">
        <f t="shared" si="12"/>
        <v>377929623.79704618</v>
      </c>
      <c r="AI12" s="7">
        <f t="shared" si="2"/>
        <v>364627536.39000028</v>
      </c>
      <c r="AJ12" s="7"/>
      <c r="AL12" s="13"/>
    </row>
    <row r="13" spans="1:38" x14ac:dyDescent="0.25">
      <c r="A13" s="5">
        <v>5</v>
      </c>
      <c r="B13" s="5" t="s">
        <v>13</v>
      </c>
      <c r="C13" s="7">
        <v>191923724</v>
      </c>
      <c r="D13" s="9">
        <v>0.84999999424250439</v>
      </c>
      <c r="E13" s="7">
        <v>196020431.01999989</v>
      </c>
      <c r="F13" s="7">
        <v>147267135.19000012</v>
      </c>
      <c r="G13" s="7">
        <v>166617365.14678541</v>
      </c>
      <c r="H13" s="7">
        <v>123049946.13999993</v>
      </c>
      <c r="I13" s="7">
        <v>104348970.02000004</v>
      </c>
      <c r="J13" s="7">
        <f t="shared" si="3"/>
        <v>104592453.51054041</v>
      </c>
      <c r="K13" s="26">
        <f>25928241.22+1556545.31</f>
        <v>27484786.529999997</v>
      </c>
      <c r="L13" s="26">
        <f>19306841.29+992905.07</f>
        <v>20299746.359999999</v>
      </c>
      <c r="M13" s="26">
        <v>1848927</v>
      </c>
      <c r="N13" s="26">
        <v>1408759.5799999998</v>
      </c>
      <c r="O13" s="26">
        <v>0</v>
      </c>
      <c r="P13" s="26">
        <v>0</v>
      </c>
      <c r="Q13" s="7"/>
      <c r="R13" s="7"/>
      <c r="S13" s="26">
        <v>1359453.55</v>
      </c>
      <c r="T13" s="26">
        <v>1031421.46</v>
      </c>
      <c r="U13" s="7">
        <v>4380999.8899999997</v>
      </c>
      <c r="V13" s="7">
        <v>2851498.6099999994</v>
      </c>
      <c r="W13" s="7">
        <f t="shared" si="4"/>
        <v>4879385.3909493638</v>
      </c>
      <c r="X13" s="7">
        <f t="shared" si="5"/>
        <v>319070377.15999985</v>
      </c>
      <c r="Y13" s="7">
        <f t="shared" si="6"/>
        <v>271209818.6573258</v>
      </c>
      <c r="Z13" s="7">
        <f t="shared" si="7"/>
        <v>251616105.21000016</v>
      </c>
      <c r="AA13" s="7">
        <f>E13+H13+K13+M13+O13+Q13</f>
        <v>348404090.68999982</v>
      </c>
      <c r="AB13" s="7">
        <f>G13+J13+((K13+M13+O13+Q13)*D13)</f>
        <v>296143474.98893708</v>
      </c>
      <c r="AC13" s="7">
        <f t="shared" si="10"/>
        <v>220712282.59999999</v>
      </c>
      <c r="AD13" s="7">
        <f t="shared" si="11"/>
        <v>273324611.15000015</v>
      </c>
      <c r="AE13" s="17"/>
      <c r="AF13" s="7">
        <f t="shared" si="0"/>
        <v>348404090.68999982</v>
      </c>
      <c r="AG13" s="7">
        <f t="shared" si="1"/>
        <v>300543532.18732578</v>
      </c>
      <c r="AH13" s="7">
        <f t="shared" si="12"/>
        <v>220712282.59999999</v>
      </c>
      <c r="AI13" s="7">
        <f t="shared" si="2"/>
        <v>273324611.15000015</v>
      </c>
      <c r="AJ13" s="7"/>
      <c r="AL13" s="28"/>
    </row>
    <row r="14" spans="1:38" x14ac:dyDescent="0.25">
      <c r="A14" s="5">
        <v>6</v>
      </c>
      <c r="B14" s="5" t="s">
        <v>11</v>
      </c>
      <c r="C14" s="7">
        <v>235477563</v>
      </c>
      <c r="D14" s="9">
        <v>0.84999999711225138</v>
      </c>
      <c r="E14" s="7">
        <v>265522046.26000005</v>
      </c>
      <c r="F14" s="7">
        <v>265522470.17000008</v>
      </c>
      <c r="G14" s="7">
        <v>225693738.55423903</v>
      </c>
      <c r="H14" s="7">
        <v>982999.29999999981</v>
      </c>
      <c r="I14" s="7">
        <v>1042666.8999999997</v>
      </c>
      <c r="J14" s="7">
        <f t="shared" si="3"/>
        <v>835549.402161345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7"/>
      <c r="R14" s="7"/>
      <c r="S14" s="26">
        <v>0</v>
      </c>
      <c r="T14" s="26">
        <v>0</v>
      </c>
      <c r="U14" s="7">
        <v>3330597</v>
      </c>
      <c r="V14" s="7">
        <v>3330597</v>
      </c>
      <c r="W14" s="7">
        <f t="shared" si="4"/>
        <v>2831007.4403820732</v>
      </c>
      <c r="X14" s="7">
        <f t="shared" si="5"/>
        <v>266505045.56000006</v>
      </c>
      <c r="Y14" s="7">
        <f t="shared" si="6"/>
        <v>226529287.95640039</v>
      </c>
      <c r="Z14" s="7">
        <f t="shared" si="7"/>
        <v>266565137.07000008</v>
      </c>
      <c r="AA14" s="7">
        <f t="shared" si="8"/>
        <v>266505045.56000006</v>
      </c>
      <c r="AB14" s="7">
        <f t="shared" si="9"/>
        <v>226529287.95640039</v>
      </c>
      <c r="AC14" s="7">
        <f t="shared" si="10"/>
        <v>226529287.95640039</v>
      </c>
      <c r="AD14" s="7">
        <f t="shared" si="11"/>
        <v>266565137.07000008</v>
      </c>
      <c r="AE14" s="17"/>
      <c r="AF14" s="7">
        <f t="shared" si="0"/>
        <v>266505045.56000006</v>
      </c>
      <c r="AG14" s="7">
        <f t="shared" si="1"/>
        <v>226529287.95640039</v>
      </c>
      <c r="AH14" s="7">
        <f t="shared" si="12"/>
        <v>226529287.95640039</v>
      </c>
      <c r="AI14" s="7">
        <f t="shared" si="2"/>
        <v>266565137.07000008</v>
      </c>
      <c r="AJ14" s="7"/>
      <c r="AL14" s="13"/>
    </row>
    <row r="15" spans="1:38" x14ac:dyDescent="0.25">
      <c r="A15" s="5">
        <v>6</v>
      </c>
      <c r="B15" s="5" t="s">
        <v>13</v>
      </c>
      <c r="C15" s="7">
        <v>591358030</v>
      </c>
      <c r="D15" s="9">
        <v>0.84999999561602302</v>
      </c>
      <c r="E15" s="7">
        <v>481509506.87999976</v>
      </c>
      <c r="F15" s="7">
        <v>440489974.1699999</v>
      </c>
      <c r="G15" s="7">
        <v>409283079.07256383</v>
      </c>
      <c r="H15" s="7">
        <v>87270722.700000003</v>
      </c>
      <c r="I15" s="7">
        <v>77975821.589999989</v>
      </c>
      <c r="J15" s="7">
        <f t="shared" si="3"/>
        <v>74180113.91240716</v>
      </c>
      <c r="K15" s="26">
        <f>54398497.14+29975697.11</f>
        <v>84374194.25</v>
      </c>
      <c r="L15" s="26">
        <f>47856022.63+26378613.47</f>
        <v>74234636.099999994</v>
      </c>
      <c r="M15" s="26">
        <v>19168601.77</v>
      </c>
      <c r="N15" s="26">
        <v>15388615.979999999</v>
      </c>
      <c r="O15" s="26">
        <v>0</v>
      </c>
      <c r="P15" s="26">
        <v>0</v>
      </c>
      <c r="Q15" s="7"/>
      <c r="R15" s="7"/>
      <c r="S15" s="26">
        <v>6453788.79</v>
      </c>
      <c r="T15" s="26">
        <v>5485720.4800000004</v>
      </c>
      <c r="U15" s="7">
        <v>12452563.329999998</v>
      </c>
      <c r="V15" s="7">
        <v>11019674.449999999</v>
      </c>
      <c r="W15" s="7">
        <f t="shared" si="4"/>
        <v>16070399.219114985</v>
      </c>
      <c r="X15" s="7">
        <f t="shared" si="5"/>
        <v>568780229.5799998</v>
      </c>
      <c r="Y15" s="7">
        <f t="shared" si="6"/>
        <v>483463192.98497099</v>
      </c>
      <c r="Z15" s="7">
        <f t="shared" si="7"/>
        <v>518465795.75999987</v>
      </c>
      <c r="AA15" s="7">
        <f t="shared" si="8"/>
        <v>672323025.59999979</v>
      </c>
      <c r="AB15" s="7">
        <f t="shared" si="9"/>
        <v>571474569.14804173</v>
      </c>
      <c r="AC15" s="7">
        <f t="shared" si="10"/>
        <v>571474569.14804173</v>
      </c>
      <c r="AD15" s="7">
        <f t="shared" si="11"/>
        <v>608089047.83999991</v>
      </c>
      <c r="AE15" s="17"/>
      <c r="AF15" s="7">
        <f t="shared" si="0"/>
        <v>672323025.59999979</v>
      </c>
      <c r="AG15" s="7">
        <f t="shared" si="1"/>
        <v>587005989.00497103</v>
      </c>
      <c r="AH15" s="7">
        <f t="shared" si="12"/>
        <v>587005989.00497103</v>
      </c>
      <c r="AI15" s="7">
        <f t="shared" si="2"/>
        <v>608089047.83999991</v>
      </c>
      <c r="AJ15" s="7"/>
      <c r="AL15" s="28"/>
    </row>
    <row r="16" spans="1:38" x14ac:dyDescent="0.25">
      <c r="A16" s="5">
        <v>7</v>
      </c>
      <c r="B16" s="5" t="s">
        <v>12</v>
      </c>
      <c r="C16" s="7">
        <v>105460193</v>
      </c>
      <c r="D16" s="9">
        <v>0.84999160286240472</v>
      </c>
      <c r="E16" s="7">
        <v>112187582.17000008</v>
      </c>
      <c r="F16" s="7">
        <v>107945424.77000007</v>
      </c>
      <c r="G16" s="7">
        <v>95359272.56884782</v>
      </c>
      <c r="H16" s="7">
        <v>11727548.159999998</v>
      </c>
      <c r="I16" s="7">
        <v>11727558.439999998</v>
      </c>
      <c r="J16" s="7">
        <f t="shared" si="3"/>
        <v>9968317.4581644442</v>
      </c>
      <c r="K16" s="26">
        <v>1736785.96</v>
      </c>
      <c r="L16" s="26">
        <v>1736785.96</v>
      </c>
      <c r="M16" s="26">
        <v>0</v>
      </c>
      <c r="N16" s="26">
        <v>0</v>
      </c>
      <c r="O16" s="7">
        <v>0</v>
      </c>
      <c r="P16" s="7">
        <v>0</v>
      </c>
      <c r="Q16" s="7">
        <v>-1100000</v>
      </c>
      <c r="R16" s="7">
        <v>-1100000</v>
      </c>
      <c r="S16" s="26">
        <v>6331.1399999999994</v>
      </c>
      <c r="T16" s="26">
        <v>6331.1399999999994</v>
      </c>
      <c r="U16" s="7">
        <v>6166.14</v>
      </c>
      <c r="V16" s="7">
        <v>6166.14</v>
      </c>
      <c r="W16" s="7">
        <f t="shared" si="4"/>
        <v>10622.583058620272</v>
      </c>
      <c r="X16" s="7">
        <f t="shared" si="5"/>
        <v>123915130.33000007</v>
      </c>
      <c r="Y16" s="7">
        <f t="shared" si="6"/>
        <v>105327590.02701226</v>
      </c>
      <c r="Z16" s="7">
        <f t="shared" si="7"/>
        <v>119672983.21000007</v>
      </c>
      <c r="AA16" s="7">
        <f t="shared" si="8"/>
        <v>124551916.29000007</v>
      </c>
      <c r="AB16" s="7">
        <f t="shared" si="9"/>
        <v>105868852.74583293</v>
      </c>
      <c r="AC16" s="7">
        <f t="shared" si="10"/>
        <v>105868852.74583293</v>
      </c>
      <c r="AD16" s="7">
        <f t="shared" si="11"/>
        <v>120309769.17000006</v>
      </c>
      <c r="AE16" s="17"/>
      <c r="AF16" s="7">
        <f t="shared" si="0"/>
        <v>124551916.29000007</v>
      </c>
      <c r="AG16" s="7">
        <f t="shared" si="1"/>
        <v>105964375.98701225</v>
      </c>
      <c r="AH16" s="7">
        <f t="shared" si="12"/>
        <v>105964375.98701225</v>
      </c>
      <c r="AI16" s="7">
        <f t="shared" si="2"/>
        <v>120309769.17000006</v>
      </c>
      <c r="AJ16" s="7"/>
      <c r="AL16" s="13"/>
    </row>
    <row r="17" spans="1:38" x14ac:dyDescent="0.25">
      <c r="A17" s="5">
        <v>7</v>
      </c>
      <c r="B17" s="5" t="s">
        <v>43</v>
      </c>
      <c r="C17" s="7">
        <v>58021278</v>
      </c>
      <c r="D17" s="9">
        <v>0.91891888296324387</v>
      </c>
      <c r="E17" s="7">
        <v>61776326.620000027</v>
      </c>
      <c r="F17" s="7">
        <v>56899378.310000017</v>
      </c>
      <c r="G17" s="7">
        <v>56767415.615756921</v>
      </c>
      <c r="H17" s="7">
        <v>386850.54000000021</v>
      </c>
      <c r="I17" s="7">
        <v>386850.53999999957</v>
      </c>
      <c r="J17" s="7">
        <f t="shared" si="3"/>
        <v>355484.26609052788</v>
      </c>
      <c r="K17" s="7">
        <v>58147.62</v>
      </c>
      <c r="L17" s="7">
        <v>58147.619999999995</v>
      </c>
      <c r="M17" s="7">
        <v>0</v>
      </c>
      <c r="N17" s="7">
        <v>0</v>
      </c>
      <c r="O17" s="7">
        <v>0</v>
      </c>
      <c r="P17" s="7">
        <v>0</v>
      </c>
      <c r="Q17" s="7">
        <f>1100000-32903.09</f>
        <v>1067096.9099999999</v>
      </c>
      <c r="R17" s="7">
        <f>1100000-14901.8-13625.16</f>
        <v>1071473.04</v>
      </c>
      <c r="S17" s="7">
        <v>0</v>
      </c>
      <c r="T17" s="7">
        <v>0</v>
      </c>
      <c r="U17" s="7">
        <v>0</v>
      </c>
      <c r="V17" s="7">
        <v>0</v>
      </c>
      <c r="W17" s="7">
        <f t="shared" si="4"/>
        <v>0</v>
      </c>
      <c r="X17" s="7">
        <f t="shared" si="5"/>
        <v>62163177.160000026</v>
      </c>
      <c r="Y17" s="7">
        <f t="shared" si="6"/>
        <v>57122899.881847449</v>
      </c>
      <c r="Z17" s="7">
        <f t="shared" si="7"/>
        <v>57286228.850000016</v>
      </c>
      <c r="AA17" s="7">
        <f t="shared" si="8"/>
        <v>63288421.69000002</v>
      </c>
      <c r="AB17" s="7">
        <f t="shared" si="9"/>
        <v>58156908.32841555</v>
      </c>
      <c r="AC17" s="7">
        <f t="shared" si="10"/>
        <v>58156908.32841555</v>
      </c>
      <c r="AD17" s="7">
        <f t="shared" si="11"/>
        <v>58415849.510000013</v>
      </c>
      <c r="AE17" s="17"/>
      <c r="AF17" s="7">
        <f t="shared" si="0"/>
        <v>63288421.69000002</v>
      </c>
      <c r="AG17" s="7">
        <f t="shared" si="1"/>
        <v>58248144.41184745</v>
      </c>
      <c r="AH17" s="7">
        <f t="shared" si="12"/>
        <v>58248144.41184745</v>
      </c>
      <c r="AI17" s="7">
        <f t="shared" si="2"/>
        <v>58415849.510000013</v>
      </c>
      <c r="AJ17" s="7"/>
      <c r="AL17" s="13"/>
    </row>
    <row r="18" spans="1:38" x14ac:dyDescent="0.25">
      <c r="A18" s="5">
        <v>8</v>
      </c>
      <c r="B18" s="5" t="s">
        <v>11</v>
      </c>
      <c r="C18" s="7">
        <v>272565440</v>
      </c>
      <c r="D18" s="9">
        <v>0.84999999610185362</v>
      </c>
      <c r="E18" s="7">
        <v>315788479.36000025</v>
      </c>
      <c r="F18" s="7">
        <v>246984047.49000007</v>
      </c>
      <c r="G18" s="7">
        <v>268420206.1299606</v>
      </c>
      <c r="H18" s="7">
        <v>76548034.730000019</v>
      </c>
      <c r="I18" s="7">
        <v>48920714.250000015</v>
      </c>
      <c r="J18" s="7">
        <f t="shared" si="3"/>
        <v>65065829.222104572</v>
      </c>
      <c r="K18" s="26">
        <v>7460367.6500000004</v>
      </c>
      <c r="L18" s="26">
        <v>6634360.1600000001</v>
      </c>
      <c r="M18" s="26">
        <v>3904613.09</v>
      </c>
      <c r="N18" s="26">
        <v>2222507.8199999998</v>
      </c>
      <c r="O18" s="26">
        <v>417136.46</v>
      </c>
      <c r="P18" s="26">
        <v>191370.84</v>
      </c>
      <c r="Q18" s="7"/>
      <c r="R18" s="7"/>
      <c r="S18" s="26">
        <v>13712610.32</v>
      </c>
      <c r="T18" s="26">
        <v>4391927.8499999996</v>
      </c>
      <c r="U18" s="7">
        <v>7116683</v>
      </c>
      <c r="V18" s="7">
        <v>4537575</v>
      </c>
      <c r="W18" s="7">
        <f t="shared" si="4"/>
        <v>17704899.240804367</v>
      </c>
      <c r="X18" s="7">
        <f t="shared" si="5"/>
        <v>392336514.09000027</v>
      </c>
      <c r="Y18" s="7">
        <f t="shared" si="6"/>
        <v>333486035.35206515</v>
      </c>
      <c r="Z18" s="7">
        <f t="shared" si="7"/>
        <v>295904761.74000007</v>
      </c>
      <c r="AA18" s="7">
        <f t="shared" si="8"/>
        <v>404118631.2900002</v>
      </c>
      <c r="AB18" s="7">
        <f t="shared" si="9"/>
        <v>343500834.92613673</v>
      </c>
      <c r="AC18" s="7">
        <f t="shared" si="10"/>
        <v>313450256</v>
      </c>
      <c r="AD18" s="7">
        <f t="shared" si="11"/>
        <v>304953000.56000006</v>
      </c>
      <c r="AE18" s="17"/>
      <c r="AF18" s="7">
        <f t="shared" si="0"/>
        <v>404118631.2900002</v>
      </c>
      <c r="AG18" s="7">
        <f t="shared" si="1"/>
        <v>345268152.55206513</v>
      </c>
      <c r="AH18" s="7">
        <f t="shared" si="12"/>
        <v>313450256</v>
      </c>
      <c r="AI18" s="7">
        <f t="shared" si="2"/>
        <v>304953000.56000006</v>
      </c>
      <c r="AJ18" s="7"/>
      <c r="AL18" s="13"/>
    </row>
    <row r="19" spans="1:38" x14ac:dyDescent="0.25">
      <c r="A19" s="5">
        <v>8</v>
      </c>
      <c r="B19" s="5" t="s">
        <v>12</v>
      </c>
      <c r="C19" s="7">
        <v>252647648</v>
      </c>
      <c r="D19" s="9">
        <v>0.84999998586964898</v>
      </c>
      <c r="E19" s="7">
        <v>230017439.72999999</v>
      </c>
      <c r="F19" s="7">
        <v>229565813.11999992</v>
      </c>
      <c r="G19" s="7">
        <v>195514820.54423037</v>
      </c>
      <c r="H19" s="7">
        <v>46971139.82</v>
      </c>
      <c r="I19" s="7">
        <v>46971572.270000003</v>
      </c>
      <c r="J19" s="7">
        <f t="shared" si="3"/>
        <v>39925468.18328131</v>
      </c>
      <c r="K19" s="26">
        <v>12229393.200000001</v>
      </c>
      <c r="L19" s="26">
        <v>12229393.200000001</v>
      </c>
      <c r="M19" s="26">
        <v>0</v>
      </c>
      <c r="N19" s="26">
        <v>0</v>
      </c>
      <c r="O19" s="7">
        <v>0</v>
      </c>
      <c r="P19" s="7">
        <v>0</v>
      </c>
      <c r="Q19" s="7"/>
      <c r="R19" s="7"/>
      <c r="S19" s="26">
        <v>661240.09</v>
      </c>
      <c r="T19" s="26">
        <v>661240.09</v>
      </c>
      <c r="U19" s="26">
        <v>316085.95</v>
      </c>
      <c r="V19" s="26">
        <v>316085.95</v>
      </c>
      <c r="W19" s="7">
        <f t="shared" si="4"/>
        <v>830727.12019003998</v>
      </c>
      <c r="X19" s="7">
        <f>E19+H19</f>
        <v>276988579.55000001</v>
      </c>
      <c r="Y19" s="7">
        <f t="shared" si="6"/>
        <v>235440288.72751167</v>
      </c>
      <c r="Z19" s="7">
        <f t="shared" si="7"/>
        <v>276537385.38999993</v>
      </c>
      <c r="AA19" s="7">
        <f t="shared" si="8"/>
        <v>289217972.75</v>
      </c>
      <c r="AB19" s="7">
        <f t="shared" si="9"/>
        <v>245835272.77470607</v>
      </c>
      <c r="AC19" s="7">
        <f t="shared" si="10"/>
        <v>245835272.77470607</v>
      </c>
      <c r="AD19" s="7">
        <f t="shared" si="11"/>
        <v>288766778.58999991</v>
      </c>
      <c r="AE19" s="17"/>
      <c r="AF19" s="7">
        <f t="shared" si="0"/>
        <v>289217972.75</v>
      </c>
      <c r="AG19" s="7">
        <f t="shared" si="1"/>
        <v>247669681.92751166</v>
      </c>
      <c r="AH19" s="7">
        <f t="shared" si="12"/>
        <v>247669681.92751166</v>
      </c>
      <c r="AI19" s="7">
        <f t="shared" si="2"/>
        <v>288766778.58999991</v>
      </c>
      <c r="AJ19" s="7"/>
      <c r="AL19" s="13"/>
    </row>
    <row r="20" spans="1:38" x14ac:dyDescent="0.25">
      <c r="A20" s="5">
        <v>9</v>
      </c>
      <c r="B20" s="5" t="s">
        <v>11</v>
      </c>
      <c r="C20" s="7">
        <v>265728639</v>
      </c>
      <c r="D20" s="9">
        <v>0.84999999520187208</v>
      </c>
      <c r="E20" s="7">
        <v>153811686.02000001</v>
      </c>
      <c r="F20" s="7">
        <v>139128024.9799999</v>
      </c>
      <c r="G20" s="7">
        <v>130739932.42535549</v>
      </c>
      <c r="H20" s="7">
        <v>73161998.080000028</v>
      </c>
      <c r="I20" s="7">
        <v>62342731.070000023</v>
      </c>
      <c r="J20" s="7">
        <f t="shared" si="3"/>
        <v>62187698.016959399</v>
      </c>
      <c r="K20" s="26">
        <v>32853897.800000001</v>
      </c>
      <c r="L20" s="26">
        <v>27704259.430000003</v>
      </c>
      <c r="M20" s="26">
        <v>46370243.990000002</v>
      </c>
      <c r="N20" s="26">
        <v>43075942.109999999</v>
      </c>
      <c r="O20" s="26">
        <v>20367398.369999997</v>
      </c>
      <c r="P20" s="26">
        <v>20338912.329999998</v>
      </c>
      <c r="Q20" s="7"/>
      <c r="R20" s="7"/>
      <c r="S20" s="26">
        <v>9222297.9200000037</v>
      </c>
      <c r="T20" s="26">
        <v>6611595.1900000004</v>
      </c>
      <c r="U20" s="7">
        <v>1084544</v>
      </c>
      <c r="V20" s="7">
        <v>1008084</v>
      </c>
      <c r="W20" s="7">
        <f t="shared" si="4"/>
        <v>8760815.5825464576</v>
      </c>
      <c r="X20" s="7">
        <f t="shared" si="5"/>
        <v>226973684.10000002</v>
      </c>
      <c r="Y20" s="7">
        <f t="shared" si="6"/>
        <v>192927630.44231489</v>
      </c>
      <c r="Z20" s="7">
        <f t="shared" si="7"/>
        <v>201470756.04999992</v>
      </c>
      <c r="AA20" s="7">
        <f t="shared" si="8"/>
        <v>326565224.26000005</v>
      </c>
      <c r="AB20" s="7">
        <f t="shared" si="9"/>
        <v>277580439.10046196</v>
      </c>
      <c r="AC20" s="7">
        <f t="shared" si="10"/>
        <v>277580439.10046196</v>
      </c>
      <c r="AD20" s="7">
        <f t="shared" si="11"/>
        <v>292589869.9199999</v>
      </c>
      <c r="AE20" s="17"/>
      <c r="AF20" s="7">
        <f t="shared" si="0"/>
        <v>326565224.26000005</v>
      </c>
      <c r="AG20" s="7">
        <f t="shared" si="1"/>
        <v>292519170.60231489</v>
      </c>
      <c r="AH20" s="7">
        <f>MIN(AG20,C20*1.15)</f>
        <v>292519170.60231489</v>
      </c>
      <c r="AI20" s="7">
        <f t="shared" si="2"/>
        <v>292589869.9199999</v>
      </c>
      <c r="AJ20" s="7"/>
      <c r="AL20" s="13"/>
    </row>
    <row r="21" spans="1:38" x14ac:dyDescent="0.25">
      <c r="A21" s="5">
        <v>9</v>
      </c>
      <c r="B21" s="5" t="s">
        <v>12</v>
      </c>
      <c r="C21" s="7">
        <v>250366448</v>
      </c>
      <c r="D21" s="9">
        <v>0.84999998947542699</v>
      </c>
      <c r="E21" s="7">
        <v>210051468.90999991</v>
      </c>
      <c r="F21" s="7">
        <v>187366421.33999994</v>
      </c>
      <c r="G21" s="7">
        <v>178599409.99697512</v>
      </c>
      <c r="H21" s="7">
        <v>74763541.269999996</v>
      </c>
      <c r="I21" s="7">
        <v>71666797.389999986</v>
      </c>
      <c r="J21" s="7">
        <f t="shared" si="3"/>
        <v>63549009.292645648</v>
      </c>
      <c r="K21" s="26">
        <v>19801115.089999992</v>
      </c>
      <c r="L21" s="26">
        <v>19759042.909999993</v>
      </c>
      <c r="M21" s="26">
        <v>1635756.23</v>
      </c>
      <c r="N21" s="26">
        <v>1635756.23</v>
      </c>
      <c r="O21" s="7">
        <v>0</v>
      </c>
      <c r="P21" s="7">
        <v>0</v>
      </c>
      <c r="Q21" s="7"/>
      <c r="R21" s="7"/>
      <c r="S21" s="26">
        <v>421221.82999999996</v>
      </c>
      <c r="T21" s="26">
        <v>421221.82999999996</v>
      </c>
      <c r="U21" s="7">
        <v>377394.61</v>
      </c>
      <c r="V21" s="7">
        <v>374218.75</v>
      </c>
      <c r="W21" s="7">
        <f t="shared" si="4"/>
        <v>678823.96559490287</v>
      </c>
      <c r="X21" s="7">
        <f t="shared" si="5"/>
        <v>284815010.17999989</v>
      </c>
      <c r="Y21" s="7">
        <f t="shared" si="6"/>
        <v>242148419.28962076</v>
      </c>
      <c r="Z21" s="7">
        <f t="shared" si="7"/>
        <v>259033218.72999993</v>
      </c>
      <c r="AA21" s="7">
        <f t="shared" si="8"/>
        <v>306251881.49999988</v>
      </c>
      <c r="AB21" s="7">
        <f t="shared" si="9"/>
        <v>260369759.68600684</v>
      </c>
      <c r="AC21" s="7">
        <f>MIN(AB21,C21*1.15)</f>
        <v>260369759.68600684</v>
      </c>
      <c r="AD21" s="7">
        <f t="shared" si="11"/>
        <v>280428017.86999995</v>
      </c>
      <c r="AE21" s="17"/>
      <c r="AF21" s="7">
        <f t="shared" si="0"/>
        <v>306251881.49999988</v>
      </c>
      <c r="AG21" s="7">
        <f t="shared" si="1"/>
        <v>263585290.60962075</v>
      </c>
      <c r="AH21" s="7">
        <f t="shared" si="12"/>
        <v>263585290.60962075</v>
      </c>
      <c r="AI21" s="7">
        <f t="shared" si="2"/>
        <v>280428017.86999995</v>
      </c>
      <c r="AJ21" s="7"/>
      <c r="AL21" s="13"/>
    </row>
    <row r="22" spans="1:38" x14ac:dyDescent="0.25">
      <c r="A22" s="5">
        <v>10</v>
      </c>
      <c r="B22" s="5" t="s">
        <v>12</v>
      </c>
      <c r="C22" s="7">
        <v>21420040</v>
      </c>
      <c r="D22" s="9">
        <v>0.84999996825402868</v>
      </c>
      <c r="E22" s="7">
        <v>21473901.410000008</v>
      </c>
      <c r="F22" s="7">
        <v>21473907.430000011</v>
      </c>
      <c r="G22" s="7">
        <v>18252815.516790144</v>
      </c>
      <c r="H22" s="7">
        <v>3169449.33</v>
      </c>
      <c r="I22" s="7">
        <v>3169452.7899999996</v>
      </c>
      <c r="J22" s="7">
        <f t="shared" si="3"/>
        <v>2694031.8298827526</v>
      </c>
      <c r="K22" s="7">
        <v>13243.61</v>
      </c>
      <c r="L22" s="7">
        <v>13243.61</v>
      </c>
      <c r="M22" s="7">
        <v>0</v>
      </c>
      <c r="N22" s="7">
        <v>0</v>
      </c>
      <c r="O22" s="7">
        <v>0</v>
      </c>
      <c r="P22" s="7">
        <v>0</v>
      </c>
      <c r="Q22" s="7"/>
      <c r="R22" s="7"/>
      <c r="S22" s="7">
        <v>0</v>
      </c>
      <c r="T22" s="7">
        <v>0</v>
      </c>
      <c r="U22" s="7">
        <v>0</v>
      </c>
      <c r="V22" s="7">
        <v>0</v>
      </c>
      <c r="W22" s="7">
        <f t="shared" si="4"/>
        <v>0</v>
      </c>
      <c r="X22" s="7">
        <f t="shared" si="5"/>
        <v>24643350.74000001</v>
      </c>
      <c r="Y22" s="7">
        <f t="shared" si="6"/>
        <v>20946847.346672896</v>
      </c>
      <c r="Z22" s="7">
        <f t="shared" si="7"/>
        <v>24643360.22000001</v>
      </c>
      <c r="AA22" s="7">
        <f t="shared" si="8"/>
        <v>24656594.350000009</v>
      </c>
      <c r="AB22" s="7">
        <f t="shared" si="9"/>
        <v>20958104.414752465</v>
      </c>
      <c r="AC22" s="7">
        <f t="shared" si="10"/>
        <v>20958104.414752465</v>
      </c>
      <c r="AD22" s="7">
        <f t="shared" si="11"/>
        <v>24656603.830000009</v>
      </c>
      <c r="AE22" s="17"/>
      <c r="AF22" s="7">
        <f t="shared" si="0"/>
        <v>24656594.350000009</v>
      </c>
      <c r="AG22" s="7">
        <f t="shared" si="1"/>
        <v>20960090.956672896</v>
      </c>
      <c r="AH22" s="7">
        <f t="shared" si="12"/>
        <v>20960090.956672896</v>
      </c>
      <c r="AI22" s="7">
        <f t="shared" si="2"/>
        <v>24656603.830000009</v>
      </c>
      <c r="AJ22" s="7"/>
      <c r="AL22" s="13"/>
    </row>
    <row r="23" spans="1:38" x14ac:dyDescent="0.25">
      <c r="A23" s="5">
        <v>11</v>
      </c>
      <c r="B23" s="5" t="s">
        <v>11</v>
      </c>
      <c r="C23" s="7">
        <v>39180553</v>
      </c>
      <c r="D23" s="9">
        <v>0.84999998589861681</v>
      </c>
      <c r="E23" s="7">
        <v>43231271.259999983</v>
      </c>
      <c r="F23" s="7">
        <v>43231288.049999982</v>
      </c>
      <c r="G23" s="7">
        <v>36746579.961379282</v>
      </c>
      <c r="H23" s="7">
        <v>2619945.96</v>
      </c>
      <c r="I23" s="7">
        <v>2619945.96</v>
      </c>
      <c r="J23" s="7">
        <f t="shared" si="3"/>
        <v>2226954.0290551381</v>
      </c>
      <c r="K23" s="26">
        <v>208750.1</v>
      </c>
      <c r="L23" s="26">
        <v>208750.1</v>
      </c>
      <c r="M23" s="26">
        <v>0</v>
      </c>
      <c r="N23" s="26">
        <v>0</v>
      </c>
      <c r="O23" s="26">
        <v>0</v>
      </c>
      <c r="P23" s="26">
        <v>0</v>
      </c>
      <c r="Q23" s="7"/>
      <c r="R23" s="7"/>
      <c r="S23" s="26">
        <v>0</v>
      </c>
      <c r="T23" s="26">
        <v>0</v>
      </c>
      <c r="U23" s="7">
        <v>0</v>
      </c>
      <c r="V23" s="7">
        <v>0</v>
      </c>
      <c r="W23" s="7">
        <f t="shared" si="4"/>
        <v>0</v>
      </c>
      <c r="X23" s="7">
        <f t="shared" si="5"/>
        <v>45851217.219999984</v>
      </c>
      <c r="Y23" s="7">
        <f t="shared" si="6"/>
        <v>38973533.990434423</v>
      </c>
      <c r="Z23" s="7">
        <f t="shared" si="7"/>
        <v>45851234.009999983</v>
      </c>
      <c r="AA23" s="7">
        <f t="shared" si="8"/>
        <v>46059967.319999985</v>
      </c>
      <c r="AB23" s="7">
        <f t="shared" si="9"/>
        <v>39150971.572490759</v>
      </c>
      <c r="AC23" s="7">
        <f t="shared" si="10"/>
        <v>39150971.572490759</v>
      </c>
      <c r="AD23" s="7">
        <f t="shared" si="11"/>
        <v>46059984.109999985</v>
      </c>
      <c r="AE23" s="17"/>
      <c r="AF23" s="7">
        <f t="shared" si="0"/>
        <v>46059967.319999985</v>
      </c>
      <c r="AG23" s="7">
        <f t="shared" si="1"/>
        <v>39182284.090434425</v>
      </c>
      <c r="AH23" s="7">
        <f t="shared" si="12"/>
        <v>39182284.090434425</v>
      </c>
      <c r="AI23" s="7">
        <f t="shared" si="2"/>
        <v>46059984.109999985</v>
      </c>
      <c r="AJ23" s="7"/>
      <c r="AL23" s="13"/>
    </row>
    <row r="24" spans="1:38" x14ac:dyDescent="0.25">
      <c r="A24" s="5">
        <v>12</v>
      </c>
      <c r="B24" s="5" t="s">
        <v>13</v>
      </c>
      <c r="C24" s="7">
        <v>40715710</v>
      </c>
      <c r="D24" s="9">
        <v>0.84999998747412253</v>
      </c>
      <c r="E24" s="7">
        <v>47879015.549999997</v>
      </c>
      <c r="F24" s="7">
        <v>47879015.550000004</v>
      </c>
      <c r="G24" s="7">
        <v>40697162.617773317</v>
      </c>
      <c r="H24" s="7">
        <v>0</v>
      </c>
      <c r="I24" s="7">
        <v>0</v>
      </c>
      <c r="J24" s="7">
        <f t="shared" si="3"/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/>
      <c r="R24" s="7"/>
      <c r="S24" s="7">
        <v>0</v>
      </c>
      <c r="T24" s="7">
        <v>0</v>
      </c>
      <c r="U24" s="7">
        <v>0</v>
      </c>
      <c r="V24" s="7">
        <v>0</v>
      </c>
      <c r="W24" s="7">
        <f t="shared" si="4"/>
        <v>0</v>
      </c>
      <c r="X24" s="7">
        <f t="shared" si="5"/>
        <v>47879015.549999997</v>
      </c>
      <c r="Y24" s="7">
        <f t="shared" si="6"/>
        <v>40697162.617773317</v>
      </c>
      <c r="Z24" s="7">
        <f t="shared" si="7"/>
        <v>47879015.550000004</v>
      </c>
      <c r="AA24" s="7">
        <f t="shared" si="8"/>
        <v>47879015.549999997</v>
      </c>
      <c r="AB24" s="7">
        <f t="shared" si="9"/>
        <v>40697162.617773317</v>
      </c>
      <c r="AC24" s="7">
        <f t="shared" si="10"/>
        <v>40697162.617773317</v>
      </c>
      <c r="AD24" s="7">
        <f t="shared" si="11"/>
        <v>47879015.550000004</v>
      </c>
      <c r="AE24" s="17"/>
      <c r="AF24" s="7">
        <f t="shared" si="0"/>
        <v>47879015.549999997</v>
      </c>
      <c r="AG24" s="7">
        <f t="shared" si="1"/>
        <v>40697162.617773317</v>
      </c>
      <c r="AH24" s="7">
        <f t="shared" si="12"/>
        <v>40697162.617773317</v>
      </c>
      <c r="AI24" s="7">
        <f t="shared" si="2"/>
        <v>47879015.550000004</v>
      </c>
      <c r="AJ24" s="7"/>
      <c r="AL24" s="28"/>
    </row>
    <row r="25" spans="1:38" x14ac:dyDescent="0.25">
      <c r="A25" s="5">
        <v>13</v>
      </c>
      <c r="B25" s="5" t="s">
        <v>44</v>
      </c>
      <c r="C25" s="7">
        <v>199954500</v>
      </c>
      <c r="D25" s="9">
        <v>1</v>
      </c>
      <c r="E25" s="7">
        <v>17903940.110000007</v>
      </c>
      <c r="F25" s="7">
        <v>14522004.020000003</v>
      </c>
      <c r="G25" s="7">
        <v>17903940.109999999</v>
      </c>
      <c r="H25" s="7">
        <v>127428166.52999993</v>
      </c>
      <c r="I25" s="7">
        <v>115121274.58999999</v>
      </c>
      <c r="J25" s="7">
        <f t="shared" si="3"/>
        <v>127428166.52999993</v>
      </c>
      <c r="K25" s="26">
        <v>28719167.600000001</v>
      </c>
      <c r="L25" s="26">
        <v>23937047.780000001</v>
      </c>
      <c r="M25" s="26">
        <v>52735787.07</v>
      </c>
      <c r="N25" s="26">
        <v>52235147.629999995</v>
      </c>
      <c r="O25" s="26">
        <v>642935.53</v>
      </c>
      <c r="P25" s="26">
        <v>597287.12</v>
      </c>
      <c r="Q25" s="7"/>
      <c r="R25" s="7"/>
      <c r="S25" s="26">
        <v>14997988.01</v>
      </c>
      <c r="T25" s="26">
        <v>13840724.379999999</v>
      </c>
      <c r="U25" s="7">
        <v>239109</v>
      </c>
      <c r="V25" s="7">
        <v>211444</v>
      </c>
      <c r="W25" s="7">
        <f t="shared" si="4"/>
        <v>15237097.01</v>
      </c>
      <c r="X25" s="7">
        <f>E25+H25</f>
        <v>145332106.63999993</v>
      </c>
      <c r="Y25" s="7">
        <f t="shared" si="6"/>
        <v>145332106.63999993</v>
      </c>
      <c r="Z25" s="7">
        <f t="shared" si="7"/>
        <v>129643278.60999998</v>
      </c>
      <c r="AA25" s="7">
        <f>E25+H25+K25+M25+O25+Q25</f>
        <v>227429996.83999991</v>
      </c>
      <c r="AB25" s="7">
        <f t="shared" si="9"/>
        <v>227429996.83999991</v>
      </c>
      <c r="AC25" s="7">
        <f t="shared" si="10"/>
        <v>227429996.83999991</v>
      </c>
      <c r="AD25" s="7">
        <f>F25+I25+L25+N25+P25+R25</f>
        <v>206412761.13999999</v>
      </c>
      <c r="AE25" s="17"/>
      <c r="AF25" s="7">
        <f t="shared" si="0"/>
        <v>227429996.83999991</v>
      </c>
      <c r="AG25" s="7">
        <f t="shared" si="1"/>
        <v>227429996.83999991</v>
      </c>
      <c r="AH25" s="7">
        <f t="shared" si="12"/>
        <v>227429996.83999991</v>
      </c>
      <c r="AI25" s="7">
        <f t="shared" si="2"/>
        <v>206412761.13999999</v>
      </c>
      <c r="AJ25" s="7"/>
      <c r="AL25" s="13"/>
    </row>
    <row r="26" spans="1:38" x14ac:dyDescent="0.25">
      <c r="A26" s="5">
        <v>14</v>
      </c>
      <c r="B26" s="5" t="s">
        <v>45</v>
      </c>
      <c r="C26" s="7">
        <v>22489087</v>
      </c>
      <c r="D26" s="9">
        <v>1</v>
      </c>
      <c r="E26" s="7">
        <v>3223542.24</v>
      </c>
      <c r="F26" s="7">
        <v>3109553.9000000004</v>
      </c>
      <c r="G26" s="7">
        <v>3223542.24</v>
      </c>
      <c r="H26" s="7">
        <v>23064256.259999998</v>
      </c>
      <c r="I26" s="7">
        <v>22516416.799999997</v>
      </c>
      <c r="J26" s="7">
        <f t="shared" si="3"/>
        <v>23064256.259999998</v>
      </c>
      <c r="K26" s="26">
        <v>3371517.5999999996</v>
      </c>
      <c r="L26" s="26">
        <v>3320679.0099999988</v>
      </c>
      <c r="M26" s="26">
        <v>0</v>
      </c>
      <c r="N26" s="26">
        <v>0</v>
      </c>
      <c r="O26" s="7">
        <v>0</v>
      </c>
      <c r="P26" s="7">
        <v>0</v>
      </c>
      <c r="Q26" s="7"/>
      <c r="R26" s="7"/>
      <c r="S26" s="26">
        <v>678432.92</v>
      </c>
      <c r="T26" s="26">
        <v>678432.92</v>
      </c>
      <c r="U26" s="7">
        <v>0</v>
      </c>
      <c r="V26" s="7">
        <v>0</v>
      </c>
      <c r="W26" s="7">
        <f t="shared" si="4"/>
        <v>678432.92</v>
      </c>
      <c r="X26" s="7">
        <f>E26+H26</f>
        <v>26287798.5</v>
      </c>
      <c r="Y26" s="7">
        <f t="shared" si="6"/>
        <v>26287798.5</v>
      </c>
      <c r="Z26" s="7">
        <f t="shared" si="7"/>
        <v>25625970.699999996</v>
      </c>
      <c r="AA26" s="7">
        <f t="shared" si="8"/>
        <v>29659316.100000001</v>
      </c>
      <c r="AB26" s="7">
        <f t="shared" si="9"/>
        <v>29659316.100000001</v>
      </c>
      <c r="AC26" s="7">
        <f t="shared" si="10"/>
        <v>25862450.049999997</v>
      </c>
      <c r="AD26" s="7">
        <f t="shared" si="11"/>
        <v>28946649.709999993</v>
      </c>
      <c r="AE26" s="17"/>
      <c r="AF26" s="7">
        <f t="shared" si="0"/>
        <v>29659316.100000001</v>
      </c>
      <c r="AG26" s="7">
        <f t="shared" si="1"/>
        <v>29659316.100000001</v>
      </c>
      <c r="AH26" s="7">
        <f t="shared" si="12"/>
        <v>25862450.049999997</v>
      </c>
      <c r="AI26" s="7">
        <f t="shared" si="2"/>
        <v>28946649.709999993</v>
      </c>
      <c r="AJ26" s="7"/>
      <c r="AL26" s="13"/>
    </row>
    <row r="27" spans="1:38" x14ac:dyDescent="0.25">
      <c r="A27" s="5">
        <v>15</v>
      </c>
      <c r="B27" s="5" t="s">
        <v>13</v>
      </c>
      <c r="C27" s="7">
        <v>60000000</v>
      </c>
      <c r="D27" s="9">
        <v>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f t="shared" si="3"/>
        <v>0</v>
      </c>
      <c r="K27" s="7">
        <v>60000000</v>
      </c>
      <c r="L27" s="7">
        <v>60000000</v>
      </c>
      <c r="M27" s="7">
        <v>0</v>
      </c>
      <c r="N27" s="7">
        <v>0</v>
      </c>
      <c r="O27" s="7">
        <v>0</v>
      </c>
      <c r="P27" s="7">
        <v>0</v>
      </c>
      <c r="Q27" s="7"/>
      <c r="R27" s="7"/>
      <c r="S27" s="7">
        <v>0</v>
      </c>
      <c r="T27" s="7">
        <v>0</v>
      </c>
      <c r="U27" s="7">
        <v>0</v>
      </c>
      <c r="V27" s="7">
        <v>0</v>
      </c>
      <c r="W27" s="7">
        <f t="shared" si="4"/>
        <v>0</v>
      </c>
      <c r="X27" s="7">
        <f t="shared" si="5"/>
        <v>0</v>
      </c>
      <c r="Y27" s="7">
        <f t="shared" si="6"/>
        <v>0</v>
      </c>
      <c r="Z27" s="7">
        <f t="shared" si="7"/>
        <v>0</v>
      </c>
      <c r="AA27" s="7">
        <f t="shared" si="8"/>
        <v>60000000</v>
      </c>
      <c r="AB27" s="7">
        <f t="shared" si="9"/>
        <v>60000000</v>
      </c>
      <c r="AC27" s="7">
        <f t="shared" si="10"/>
        <v>60000000</v>
      </c>
      <c r="AD27" s="7">
        <f t="shared" si="11"/>
        <v>60000000</v>
      </c>
      <c r="AE27" s="17"/>
      <c r="AF27" s="7">
        <f t="shared" si="0"/>
        <v>60000000</v>
      </c>
      <c r="AG27" s="7">
        <f t="shared" si="1"/>
        <v>60000000</v>
      </c>
      <c r="AH27" s="7">
        <f t="shared" si="12"/>
        <v>60000000</v>
      </c>
      <c r="AI27" s="7">
        <f t="shared" si="2"/>
        <v>60000000</v>
      </c>
      <c r="AJ27" s="7"/>
      <c r="AL27" s="28"/>
    </row>
    <row r="28" spans="1:38" x14ac:dyDescent="0.25">
      <c r="A28" s="56" t="s">
        <v>46</v>
      </c>
      <c r="B28" s="57"/>
      <c r="C28" s="10">
        <f>SUMIF($B$6:$B$27,"ERAF",C6:C27)</f>
        <v>2465883158</v>
      </c>
      <c r="D28" s="11"/>
      <c r="E28" s="10">
        <f>SUMIF($B$6:$B$27,"ERAF",E6:E27)</f>
        <v>2336519044.4099994</v>
      </c>
      <c r="F28" s="10">
        <f t="shared" ref="F28:T28" si="13">SUMIF($B$6:$B$27,"ERAF",F6:F27)</f>
        <v>1972166991.53</v>
      </c>
      <c r="G28" s="10">
        <f t="shared" si="13"/>
        <v>1986074352.023952</v>
      </c>
      <c r="H28" s="10">
        <f t="shared" si="13"/>
        <v>416551641.20000011</v>
      </c>
      <c r="I28" s="10">
        <f t="shared" si="13"/>
        <v>335729573.51000005</v>
      </c>
      <c r="J28" s="10">
        <f t="shared" si="13"/>
        <v>354068697.12182605</v>
      </c>
      <c r="K28" s="10">
        <f t="shared" si="13"/>
        <v>103045313.63999999</v>
      </c>
      <c r="L28" s="10">
        <f t="shared" si="13"/>
        <v>87827163.739999995</v>
      </c>
      <c r="M28" s="10">
        <f t="shared" si="13"/>
        <v>132924738.57000002</v>
      </c>
      <c r="N28" s="10">
        <f t="shared" si="13"/>
        <v>124928363.97</v>
      </c>
      <c r="O28" s="10">
        <f t="shared" si="13"/>
        <v>28416485.539999999</v>
      </c>
      <c r="P28" s="10">
        <f t="shared" si="13"/>
        <v>27724727.549999997</v>
      </c>
      <c r="Q28" s="10">
        <f t="shared" si="13"/>
        <v>0</v>
      </c>
      <c r="R28" s="10">
        <f t="shared" si="13"/>
        <v>0</v>
      </c>
      <c r="S28" s="10">
        <f t="shared" si="13"/>
        <v>50843132.580000006</v>
      </c>
      <c r="T28" s="10">
        <f t="shared" si="13"/>
        <v>34051242.439999998</v>
      </c>
      <c r="U28" s="10">
        <f>SUMIF($B$6:$B$27,"ERAF",U6:U27)</f>
        <v>109922206</v>
      </c>
      <c r="V28" s="10">
        <f>SUMIF($B$6:$B$27,"ERAF",V6:V27)</f>
        <v>68105551</v>
      </c>
      <c r="W28" s="10">
        <f>SUMIF($B$6:$B$27,"ERAF",W6:W27)</f>
        <v>136649756.45683503</v>
      </c>
      <c r="X28" s="10">
        <f t="shared" ref="X28:AI28" si="14">SUMIF($B$6:$B$27,"ERAF",X6:X27)</f>
        <v>2753070685.6099997</v>
      </c>
      <c r="Y28" s="10">
        <f t="shared" si="14"/>
        <v>2340143049.1457782</v>
      </c>
      <c r="Z28" s="10">
        <f t="shared" si="14"/>
        <v>2307896565.04</v>
      </c>
      <c r="AA28" s="10">
        <f t="shared" si="14"/>
        <v>3017457223.3600001</v>
      </c>
      <c r="AB28" s="10">
        <f t="shared" si="14"/>
        <v>2564870594.6291685</v>
      </c>
      <c r="AC28" s="10">
        <f t="shared" si="14"/>
        <v>2534820015.703032</v>
      </c>
      <c r="AD28" s="10">
        <f t="shared" si="14"/>
        <v>2548376820.3000007</v>
      </c>
      <c r="AE28" s="10">
        <f>IF(AC28&lt;AD28,AC28-C28,AD28-C28)</f>
        <v>68936857.703032017</v>
      </c>
      <c r="AF28" s="10">
        <f t="shared" si="14"/>
        <v>3017457223.3600001</v>
      </c>
      <c r="AG28" s="10">
        <f t="shared" si="14"/>
        <v>2604529586.8957782</v>
      </c>
      <c r="AH28" s="10">
        <f t="shared" si="14"/>
        <v>2572711690.3437133</v>
      </c>
      <c r="AI28" s="10">
        <f t="shared" si="14"/>
        <v>2548376820.3000007</v>
      </c>
      <c r="AJ28" s="10">
        <f>IF(AH28&lt;AI28,AH28-C28,AI28-C28)</f>
        <v>82493662.300000668</v>
      </c>
      <c r="AL28" s="8"/>
    </row>
    <row r="29" spans="1:38" x14ac:dyDescent="0.25">
      <c r="A29" s="56" t="s">
        <v>47</v>
      </c>
      <c r="B29" s="57"/>
      <c r="C29" s="10">
        <f>SUMIF($B$6:$B$27,"KF",C6:C27)</f>
        <v>1246634592</v>
      </c>
      <c r="D29" s="11"/>
      <c r="E29" s="10">
        <f>SUMIF($B$6:$B$27,"KF",E6:E27)</f>
        <v>922115772.74999952</v>
      </c>
      <c r="F29" s="10">
        <f t="shared" ref="F29:T29" si="15">SUMIF($B$6:$B$27,"KF",F6:F27)</f>
        <v>740270091.02999997</v>
      </c>
      <c r="G29" s="10">
        <f t="shared" si="15"/>
        <v>783798402.58017159</v>
      </c>
      <c r="H29" s="10">
        <f t="shared" si="15"/>
        <v>407136001.14999992</v>
      </c>
      <c r="I29" s="10">
        <f t="shared" si="15"/>
        <v>317649793.23000002</v>
      </c>
      <c r="J29" s="10">
        <f t="shared" si="15"/>
        <v>346065599.21752846</v>
      </c>
      <c r="K29" s="10">
        <f t="shared" si="15"/>
        <v>307423817.98000002</v>
      </c>
      <c r="L29" s="10">
        <f t="shared" si="15"/>
        <v>270833620.76999998</v>
      </c>
      <c r="M29" s="10">
        <f t="shared" si="15"/>
        <v>56451406.209999993</v>
      </c>
      <c r="N29" s="10">
        <f t="shared" si="15"/>
        <v>46916171.379999995</v>
      </c>
      <c r="O29" s="10">
        <f t="shared" si="15"/>
        <v>0</v>
      </c>
      <c r="P29" s="10">
        <f t="shared" si="15"/>
        <v>0</v>
      </c>
      <c r="Q29" s="10">
        <f t="shared" si="15"/>
        <v>0</v>
      </c>
      <c r="R29" s="10">
        <f t="shared" si="15"/>
        <v>0</v>
      </c>
      <c r="S29" s="10">
        <f t="shared" si="15"/>
        <v>35520476.020000003</v>
      </c>
      <c r="T29" s="10">
        <f t="shared" si="15"/>
        <v>20043843.039999999</v>
      </c>
      <c r="U29" s="10">
        <f>SUMIF($B$6:$B$27,"KF",U6:U27)</f>
        <v>17413134.979999997</v>
      </c>
      <c r="V29" s="10">
        <f>SUMIF($B$6:$B$27,"KF",V6:V27)</f>
        <v>14355455.93</v>
      </c>
      <c r="W29" s="10">
        <f>SUMIF($B$6:$B$27,"KF",W6:W27)</f>
        <v>44993569.13792558</v>
      </c>
      <c r="X29" s="10">
        <f t="shared" ref="X29:AI29" si="16">SUMIF($B$6:$B$27,"KF",X6:X27)</f>
        <v>1329251773.8999996</v>
      </c>
      <c r="Y29" s="10">
        <f t="shared" si="16"/>
        <v>1129864001.7977002</v>
      </c>
      <c r="Z29" s="10">
        <f t="shared" si="16"/>
        <v>1057919884.26</v>
      </c>
      <c r="AA29" s="10">
        <f t="shared" si="16"/>
        <v>1693126998.0899994</v>
      </c>
      <c r="AB29" s="10">
        <f t="shared" si="16"/>
        <v>1448157941.1552062</v>
      </c>
      <c r="AC29" s="10">
        <f t="shared" si="16"/>
        <v>1309916711.565815</v>
      </c>
      <c r="AD29" s="10">
        <f t="shared" si="16"/>
        <v>1375669676.4100001</v>
      </c>
      <c r="AE29" s="10">
        <f t="shared" ref="AE29:AE34" si="17">IF(AC29&lt;AD29,AC29-C29,AD29-C29)</f>
        <v>63282119.565814972</v>
      </c>
      <c r="AF29" s="10">
        <f t="shared" si="16"/>
        <v>1693126998.0899994</v>
      </c>
      <c r="AG29" s="10">
        <f t="shared" si="16"/>
        <v>1493739225.9877</v>
      </c>
      <c r="AH29" s="10">
        <f t="shared" si="16"/>
        <v>1325448131.4227443</v>
      </c>
      <c r="AI29" s="10">
        <f t="shared" si="16"/>
        <v>1375669676.4100001</v>
      </c>
      <c r="AJ29" s="10">
        <f t="shared" ref="AJ29:AJ34" si="18">IF(AH29&lt;AI29,AH29-C29,AI29-C29)</f>
        <v>78813539.422744274</v>
      </c>
    </row>
    <row r="30" spans="1:38" x14ac:dyDescent="0.25">
      <c r="A30" s="56" t="s">
        <v>48</v>
      </c>
      <c r="B30" s="57"/>
      <c r="C30" s="10">
        <f>SUMIF($B$6:$B$27,"ESF",C6:C27)</f>
        <v>647694186</v>
      </c>
      <c r="D30" s="11"/>
      <c r="E30" s="10">
        <f>SUMIF($B$6:$B$27,"ESF",E6:E27)</f>
        <v>593051727.10000002</v>
      </c>
      <c r="F30" s="10">
        <f t="shared" ref="F30:T30" si="19">SUMIF($B$6:$B$27,"ESF",F6:F27)</f>
        <v>565675771.15999997</v>
      </c>
      <c r="G30" s="10">
        <f t="shared" si="19"/>
        <v>504149452.67896622</v>
      </c>
      <c r="H30" s="10">
        <f t="shared" si="19"/>
        <v>138158182.47999999</v>
      </c>
      <c r="I30" s="10">
        <f t="shared" si="19"/>
        <v>135063645.16</v>
      </c>
      <c r="J30" s="10">
        <f t="shared" si="19"/>
        <v>117434355.03159213</v>
      </c>
      <c r="K30" s="10">
        <f t="shared" si="19"/>
        <v>33780537.859999992</v>
      </c>
      <c r="L30" s="10">
        <f t="shared" si="19"/>
        <v>33738465.679999992</v>
      </c>
      <c r="M30" s="10">
        <f t="shared" si="19"/>
        <v>1635756.23</v>
      </c>
      <c r="N30" s="10">
        <f t="shared" si="19"/>
        <v>1635756.23</v>
      </c>
      <c r="O30" s="10">
        <f t="shared" si="19"/>
        <v>0</v>
      </c>
      <c r="P30" s="10">
        <f t="shared" si="19"/>
        <v>0</v>
      </c>
      <c r="Q30" s="10">
        <f t="shared" si="19"/>
        <v>-1100000</v>
      </c>
      <c r="R30" s="10">
        <f t="shared" si="19"/>
        <v>-1100000</v>
      </c>
      <c r="S30" s="10">
        <f t="shared" si="19"/>
        <v>1088793.06</v>
      </c>
      <c r="T30" s="10">
        <f t="shared" si="19"/>
        <v>1088793.06</v>
      </c>
      <c r="U30" s="10">
        <f>SUMIF($B$6:$B$27,"ESF",U6:U27)</f>
        <v>699646.7</v>
      </c>
      <c r="V30" s="10">
        <f>SUMIF($B$6:$B$27,"ESF",V6:V27)</f>
        <v>696470.84000000008</v>
      </c>
      <c r="W30" s="10">
        <f>SUMIF($B$6:$B$27,"ESF",W6:W27)</f>
        <v>1520173.6688435632</v>
      </c>
      <c r="X30" s="10">
        <f t="shared" ref="X30:AI30" si="20">SUMIF($B$6:$B$27,"ESF",X6:X27)</f>
        <v>731209909.57999992</v>
      </c>
      <c r="Y30" s="10">
        <f t="shared" si="20"/>
        <v>621583807.7105583</v>
      </c>
      <c r="Z30" s="10">
        <f t="shared" si="20"/>
        <v>700739416.31999993</v>
      </c>
      <c r="AA30" s="10">
        <f t="shared" si="20"/>
        <v>765526203.66999996</v>
      </c>
      <c r="AB30" s="10">
        <f t="shared" si="20"/>
        <v>650752651.94103909</v>
      </c>
      <c r="AC30" s="10">
        <f t="shared" si="20"/>
        <v>650752651.94103909</v>
      </c>
      <c r="AD30" s="10">
        <f t="shared" si="20"/>
        <v>735013638.2299999</v>
      </c>
      <c r="AE30" s="10">
        <f t="shared" si="17"/>
        <v>3058465.9410390854</v>
      </c>
      <c r="AF30" s="10">
        <f t="shared" si="20"/>
        <v>765526203.66999996</v>
      </c>
      <c r="AG30" s="10">
        <f t="shared" si="20"/>
        <v>655900101.80055833</v>
      </c>
      <c r="AH30" s="10">
        <f t="shared" si="20"/>
        <v>655900101.80055833</v>
      </c>
      <c r="AI30" s="10">
        <f t="shared" si="20"/>
        <v>735013638.2299999</v>
      </c>
      <c r="AJ30" s="10">
        <f t="shared" si="18"/>
        <v>8205915.8005583286</v>
      </c>
    </row>
    <row r="31" spans="1:38" x14ac:dyDescent="0.25">
      <c r="A31" s="56" t="s">
        <v>49</v>
      </c>
      <c r="B31" s="57"/>
      <c r="C31" s="10">
        <f>SUMIF($B$6:$B$27,"JNI/ESF",C6:C27)</f>
        <v>58021278</v>
      </c>
      <c r="D31" s="11"/>
      <c r="E31" s="10">
        <f>SUMIF($B$6:$B$27,"JNI/ESF",E6:E27)</f>
        <v>61776326.620000027</v>
      </c>
      <c r="F31" s="10">
        <f t="shared" ref="F31:T31" si="21">SUMIF($B$6:$B$27,"JNI/ESF",F6:F27)</f>
        <v>56899378.310000017</v>
      </c>
      <c r="G31" s="10">
        <f t="shared" si="21"/>
        <v>56767415.615756921</v>
      </c>
      <c r="H31" s="10">
        <f t="shared" si="21"/>
        <v>386850.54000000021</v>
      </c>
      <c r="I31" s="10">
        <f t="shared" si="21"/>
        <v>386850.53999999957</v>
      </c>
      <c r="J31" s="10">
        <f t="shared" si="21"/>
        <v>355484.26609052788</v>
      </c>
      <c r="K31" s="10">
        <f t="shared" si="21"/>
        <v>58147.62</v>
      </c>
      <c r="L31" s="10">
        <f t="shared" si="21"/>
        <v>58147.619999999995</v>
      </c>
      <c r="M31" s="10">
        <f t="shared" si="21"/>
        <v>0</v>
      </c>
      <c r="N31" s="10">
        <f t="shared" si="21"/>
        <v>0</v>
      </c>
      <c r="O31" s="10">
        <f t="shared" si="21"/>
        <v>0</v>
      </c>
      <c r="P31" s="10">
        <f t="shared" si="21"/>
        <v>0</v>
      </c>
      <c r="Q31" s="10">
        <f t="shared" si="21"/>
        <v>1067096.9099999999</v>
      </c>
      <c r="R31" s="10">
        <f t="shared" si="21"/>
        <v>1071473.04</v>
      </c>
      <c r="S31" s="10">
        <f t="shared" si="21"/>
        <v>0</v>
      </c>
      <c r="T31" s="10">
        <f t="shared" si="21"/>
        <v>0</v>
      </c>
      <c r="U31" s="10">
        <f>SUMIF($B$6:$B$27,"JNI/ESF",U6:U27)</f>
        <v>0</v>
      </c>
      <c r="V31" s="10">
        <f>SUMIF($B$6:$B$27,"JNI/ESF",V6:V27)</f>
        <v>0</v>
      </c>
      <c r="W31" s="10">
        <f>SUMIF($B$6:$B$27,"JNI/ESF",W6:W27)</f>
        <v>0</v>
      </c>
      <c r="X31" s="10">
        <f t="shared" ref="X31:AI31" si="22">SUMIF($B$6:$B$27,"JNI/ESF",X6:X27)</f>
        <v>62163177.160000026</v>
      </c>
      <c r="Y31" s="10">
        <f t="shared" si="22"/>
        <v>57122899.881847449</v>
      </c>
      <c r="Z31" s="10">
        <f t="shared" si="22"/>
        <v>57286228.850000016</v>
      </c>
      <c r="AA31" s="10">
        <f t="shared" si="22"/>
        <v>63288421.69000002</v>
      </c>
      <c r="AB31" s="10">
        <f t="shared" si="22"/>
        <v>58156908.32841555</v>
      </c>
      <c r="AC31" s="10">
        <f t="shared" si="22"/>
        <v>58156908.32841555</v>
      </c>
      <c r="AD31" s="10">
        <f t="shared" si="22"/>
        <v>58415849.510000013</v>
      </c>
      <c r="AE31" s="10">
        <f t="shared" si="17"/>
        <v>135630.32841555029</v>
      </c>
      <c r="AF31" s="10">
        <f t="shared" si="22"/>
        <v>63288421.69000002</v>
      </c>
      <c r="AG31" s="10">
        <f t="shared" si="22"/>
        <v>58248144.41184745</v>
      </c>
      <c r="AH31" s="10">
        <f t="shared" si="22"/>
        <v>58248144.41184745</v>
      </c>
      <c r="AI31" s="10">
        <f t="shared" si="22"/>
        <v>58415849.510000013</v>
      </c>
      <c r="AJ31" s="10">
        <f t="shared" si="18"/>
        <v>226866.41184744984</v>
      </c>
    </row>
    <row r="32" spans="1:38" x14ac:dyDescent="0.25">
      <c r="A32" s="56" t="s">
        <v>44</v>
      </c>
      <c r="B32" s="57"/>
      <c r="C32" s="10">
        <f>SUMIF($B$6:$B$27,"R-EU ERAF",C6:C27)</f>
        <v>199954500</v>
      </c>
      <c r="D32" s="11"/>
      <c r="E32" s="10">
        <f>SUMIF($B$6:$B$27,"R-EU ERAF",E6:E27)</f>
        <v>17903940.110000007</v>
      </c>
      <c r="F32" s="10">
        <f t="shared" ref="F32:T32" si="23">SUMIF($B$6:$B$27,"R-EU ERAF",F6:F27)</f>
        <v>14522004.020000003</v>
      </c>
      <c r="G32" s="10">
        <f t="shared" si="23"/>
        <v>17903940.109999999</v>
      </c>
      <c r="H32" s="10">
        <f t="shared" si="23"/>
        <v>127428166.52999993</v>
      </c>
      <c r="I32" s="10">
        <f t="shared" si="23"/>
        <v>115121274.58999999</v>
      </c>
      <c r="J32" s="10">
        <f t="shared" si="23"/>
        <v>127428166.52999993</v>
      </c>
      <c r="K32" s="10">
        <f t="shared" si="23"/>
        <v>28719167.600000001</v>
      </c>
      <c r="L32" s="10">
        <f t="shared" si="23"/>
        <v>23937047.780000001</v>
      </c>
      <c r="M32" s="10">
        <f t="shared" si="23"/>
        <v>52735787.07</v>
      </c>
      <c r="N32" s="10">
        <f t="shared" si="23"/>
        <v>52235147.629999995</v>
      </c>
      <c r="O32" s="10">
        <f t="shared" si="23"/>
        <v>642935.53</v>
      </c>
      <c r="P32" s="10">
        <f t="shared" si="23"/>
        <v>597287.12</v>
      </c>
      <c r="Q32" s="10">
        <f t="shared" si="23"/>
        <v>0</v>
      </c>
      <c r="R32" s="10">
        <f t="shared" si="23"/>
        <v>0</v>
      </c>
      <c r="S32" s="10">
        <f t="shared" si="23"/>
        <v>14997988.01</v>
      </c>
      <c r="T32" s="10">
        <f t="shared" si="23"/>
        <v>13840724.379999999</v>
      </c>
      <c r="U32" s="10">
        <f>SUMIF($B$6:$B$27,"R-EU ERAF",U6:U27)</f>
        <v>239109</v>
      </c>
      <c r="V32" s="10">
        <f>SUMIF($B$6:$B$27,"R-EU ERAF",V6:V27)</f>
        <v>211444</v>
      </c>
      <c r="W32" s="10">
        <f>SUMIF($B$6:$B$27,"R-EU ERAF",W6:W27)</f>
        <v>15237097.01</v>
      </c>
      <c r="X32" s="10">
        <f t="shared" ref="X32:AI32" si="24">SUMIF($B$6:$B$27,"R-EU ERAF",X6:X27)</f>
        <v>145332106.63999993</v>
      </c>
      <c r="Y32" s="10">
        <f t="shared" si="24"/>
        <v>145332106.63999993</v>
      </c>
      <c r="Z32" s="10">
        <f t="shared" si="24"/>
        <v>129643278.60999998</v>
      </c>
      <c r="AA32" s="10">
        <f t="shared" si="24"/>
        <v>227429996.83999991</v>
      </c>
      <c r="AB32" s="10">
        <f t="shared" si="24"/>
        <v>227429996.83999991</v>
      </c>
      <c r="AC32" s="10">
        <f t="shared" si="24"/>
        <v>227429996.83999991</v>
      </c>
      <c r="AD32" s="10">
        <f>SUMIF($B$6:$B$27,"R-EU ERAF",AD6:AD27)</f>
        <v>206412761.13999999</v>
      </c>
      <c r="AE32" s="27">
        <f>IF(AC32&lt;AD32,AC32-C32,AD32-C32)</f>
        <v>6458261.1399999857</v>
      </c>
      <c r="AF32" s="10">
        <f t="shared" si="24"/>
        <v>227429996.83999991</v>
      </c>
      <c r="AG32" s="10">
        <f t="shared" si="24"/>
        <v>227429996.83999991</v>
      </c>
      <c r="AH32" s="10">
        <f t="shared" si="24"/>
        <v>227429996.83999991</v>
      </c>
      <c r="AI32" s="10">
        <f t="shared" si="24"/>
        <v>206412761.13999999</v>
      </c>
      <c r="AJ32" s="10">
        <f t="shared" si="18"/>
        <v>6458261.1399999857</v>
      </c>
    </row>
    <row r="33" spans="1:36" x14ac:dyDescent="0.25">
      <c r="A33" s="56" t="s">
        <v>45</v>
      </c>
      <c r="B33" s="57"/>
      <c r="C33" s="10">
        <f>SUMIF($B$6:$B$27,"R-EU ESF",C6:C27)</f>
        <v>22489087</v>
      </c>
      <c r="D33" s="11"/>
      <c r="E33" s="10">
        <f>SUMIF($B$6:$B$27,"R-EU ESF",E6:E27)</f>
        <v>3223542.24</v>
      </c>
      <c r="F33" s="10">
        <f t="shared" ref="F33:T33" si="25">SUMIF($B$6:$B$27,"R-EU ESF",F6:F27)</f>
        <v>3109553.9000000004</v>
      </c>
      <c r="G33" s="10">
        <f t="shared" si="25"/>
        <v>3223542.24</v>
      </c>
      <c r="H33" s="10">
        <f t="shared" si="25"/>
        <v>23064256.259999998</v>
      </c>
      <c r="I33" s="10">
        <f t="shared" si="25"/>
        <v>22516416.799999997</v>
      </c>
      <c r="J33" s="10">
        <f t="shared" si="25"/>
        <v>23064256.259999998</v>
      </c>
      <c r="K33" s="10">
        <f t="shared" si="25"/>
        <v>3371517.5999999996</v>
      </c>
      <c r="L33" s="10">
        <f t="shared" si="25"/>
        <v>3320679.0099999988</v>
      </c>
      <c r="M33" s="10">
        <f t="shared" si="25"/>
        <v>0</v>
      </c>
      <c r="N33" s="10">
        <f t="shared" si="25"/>
        <v>0</v>
      </c>
      <c r="O33" s="10">
        <f t="shared" si="25"/>
        <v>0</v>
      </c>
      <c r="P33" s="10">
        <f t="shared" si="25"/>
        <v>0</v>
      </c>
      <c r="Q33" s="10">
        <f t="shared" si="25"/>
        <v>0</v>
      </c>
      <c r="R33" s="10">
        <f t="shared" si="25"/>
        <v>0</v>
      </c>
      <c r="S33" s="10">
        <f t="shared" si="25"/>
        <v>678432.92</v>
      </c>
      <c r="T33" s="10">
        <f t="shared" si="25"/>
        <v>678432.92</v>
      </c>
      <c r="U33" s="10">
        <f>SUMIF($B$6:$B$27,"R-EU ESF",U6:U27)</f>
        <v>0</v>
      </c>
      <c r="V33" s="10">
        <f>SUMIF($B$6:$B$27,"R-EU ESF",V6:V27)</f>
        <v>0</v>
      </c>
      <c r="W33" s="10">
        <f>SUMIF($B$6:$B$27,"R-EU ESF",W6:W27)</f>
        <v>678432.92</v>
      </c>
      <c r="X33" s="10">
        <f t="shared" ref="X33:AI33" si="26">SUMIF($B$6:$B$27,"R-EU ESF",X6:X27)</f>
        <v>26287798.5</v>
      </c>
      <c r="Y33" s="10">
        <f t="shared" si="26"/>
        <v>26287798.5</v>
      </c>
      <c r="Z33" s="10">
        <f t="shared" si="26"/>
        <v>25625970.699999996</v>
      </c>
      <c r="AA33" s="10">
        <f t="shared" si="26"/>
        <v>29659316.100000001</v>
      </c>
      <c r="AB33" s="10">
        <f t="shared" si="26"/>
        <v>29659316.100000001</v>
      </c>
      <c r="AC33" s="10">
        <f t="shared" si="26"/>
        <v>25862450.049999997</v>
      </c>
      <c r="AD33" s="10">
        <f t="shared" si="26"/>
        <v>28946649.709999993</v>
      </c>
      <c r="AE33" s="10">
        <f t="shared" si="17"/>
        <v>3373363.049999997</v>
      </c>
      <c r="AF33" s="10">
        <f t="shared" si="26"/>
        <v>29659316.100000001</v>
      </c>
      <c r="AG33" s="10">
        <f t="shared" si="26"/>
        <v>29659316.100000001</v>
      </c>
      <c r="AH33" s="10">
        <f t="shared" si="26"/>
        <v>25862450.049999997</v>
      </c>
      <c r="AI33" s="10">
        <f t="shared" si="26"/>
        <v>28946649.709999993</v>
      </c>
      <c r="AJ33" s="10">
        <f t="shared" si="18"/>
        <v>3373363.049999997</v>
      </c>
    </row>
    <row r="34" spans="1:36" x14ac:dyDescent="0.25">
      <c r="A34" s="56" t="s">
        <v>7</v>
      </c>
      <c r="B34" s="57"/>
      <c r="C34" s="10">
        <f>C28+C30+C31+C32+C33+C29</f>
        <v>4640676801</v>
      </c>
      <c r="D34" s="11"/>
      <c r="E34" s="10">
        <f>E28+E30+E31+E32+E33+E29</f>
        <v>3934590353.2299986</v>
      </c>
      <c r="F34" s="10">
        <f t="shared" ref="F34:T34" si="27">F28+F30+F31+F32+F33+F29</f>
        <v>3352643789.9499998</v>
      </c>
      <c r="G34" s="10">
        <f t="shared" si="27"/>
        <v>3351917105.2488465</v>
      </c>
      <c r="H34" s="10">
        <f t="shared" si="27"/>
        <v>1112725098.1599998</v>
      </c>
      <c r="I34" s="10">
        <f t="shared" si="27"/>
        <v>926467553.83000004</v>
      </c>
      <c r="J34" s="10">
        <f t="shared" si="27"/>
        <v>968416558.42703712</v>
      </c>
      <c r="K34" s="10">
        <f t="shared" si="27"/>
        <v>476398502.29999995</v>
      </c>
      <c r="L34" s="10">
        <f t="shared" si="27"/>
        <v>419715124.59999996</v>
      </c>
      <c r="M34" s="10">
        <f t="shared" si="27"/>
        <v>243747688.07999998</v>
      </c>
      <c r="N34" s="10">
        <f t="shared" si="27"/>
        <v>225715439.20999998</v>
      </c>
      <c r="O34" s="10">
        <f t="shared" si="27"/>
        <v>29059421.07</v>
      </c>
      <c r="P34" s="10">
        <f t="shared" si="27"/>
        <v>28322014.669999998</v>
      </c>
      <c r="Q34" s="10">
        <f t="shared" si="27"/>
        <v>-32903.090000000084</v>
      </c>
      <c r="R34" s="10">
        <f t="shared" si="27"/>
        <v>-28526.959999999963</v>
      </c>
      <c r="S34" s="10">
        <f>S28+S30+S31+S32+S33+S29</f>
        <v>103128822.59</v>
      </c>
      <c r="T34" s="10">
        <f t="shared" si="27"/>
        <v>69703035.840000004</v>
      </c>
      <c r="U34" s="10">
        <f>U28+U30+U31+U32+U33+U29</f>
        <v>128274096.68000001</v>
      </c>
      <c r="V34" s="10">
        <f>V28+V30+V31+V32+V33+V29</f>
        <v>83368921.770000011</v>
      </c>
      <c r="W34" s="10">
        <f>W28+W30+W31+W32+W33+W29</f>
        <v>199079029.19360417</v>
      </c>
      <c r="X34" s="10">
        <f t="shared" ref="X34:AI34" si="28">X28+X30+X31+X32+X33+X29</f>
        <v>5047315451.3899994</v>
      </c>
      <c r="Y34" s="10">
        <f t="shared" si="28"/>
        <v>4320333663.6758842</v>
      </c>
      <c r="Z34" s="10">
        <f t="shared" si="28"/>
        <v>4279111343.7799997</v>
      </c>
      <c r="AA34" s="10">
        <f t="shared" si="28"/>
        <v>5796488159.75</v>
      </c>
      <c r="AB34" s="10">
        <f t="shared" si="28"/>
        <v>4979027408.9938288</v>
      </c>
      <c r="AC34" s="10">
        <f t="shared" si="28"/>
        <v>4806938734.4283018</v>
      </c>
      <c r="AD34" s="10">
        <f t="shared" si="28"/>
        <v>4952835395.3000011</v>
      </c>
      <c r="AE34" s="10">
        <f t="shared" si="17"/>
        <v>166261933.42830181</v>
      </c>
      <c r="AF34" s="10">
        <f t="shared" si="28"/>
        <v>5796488159.75</v>
      </c>
      <c r="AG34" s="10">
        <f t="shared" si="28"/>
        <v>5069506372.0358839</v>
      </c>
      <c r="AH34" s="10">
        <f t="shared" si="28"/>
        <v>4865600514.8688641</v>
      </c>
      <c r="AI34" s="10">
        <f t="shared" si="28"/>
        <v>4952835395.3000011</v>
      </c>
      <c r="AJ34" s="10">
        <f t="shared" si="18"/>
        <v>224923713.86886406</v>
      </c>
    </row>
    <row r="36" spans="1:36" x14ac:dyDescent="0.25">
      <c r="S36" s="8"/>
      <c r="T36" s="8"/>
    </row>
    <row r="37" spans="1:36" x14ac:dyDescent="0.25">
      <c r="K37" s="8"/>
      <c r="L37" s="8"/>
      <c r="S37" s="8"/>
      <c r="T37" s="8"/>
      <c r="AD37" s="8"/>
    </row>
    <row r="38" spans="1:36" x14ac:dyDescent="0.25">
      <c r="K38" s="8"/>
      <c r="L38" s="8"/>
      <c r="S38" s="8"/>
      <c r="T38" s="8"/>
    </row>
    <row r="39" spans="1:36" x14ac:dyDescent="0.25">
      <c r="G39" s="21"/>
      <c r="K39" s="8"/>
      <c r="L39" s="8"/>
      <c r="S39" s="8"/>
      <c r="T39" s="8"/>
    </row>
    <row r="40" spans="1:36" x14ac:dyDescent="0.25">
      <c r="G40" s="22"/>
      <c r="K40" s="8"/>
      <c r="L40" s="8"/>
      <c r="S40" s="8"/>
      <c r="T40" s="8"/>
    </row>
    <row r="41" spans="1:36" x14ac:dyDescent="0.25">
      <c r="K41" s="8"/>
      <c r="L41" s="8"/>
      <c r="S41" s="8"/>
      <c r="T41" s="8"/>
    </row>
    <row r="42" spans="1:36" x14ac:dyDescent="0.25">
      <c r="K42" s="8"/>
      <c r="L42" s="8"/>
    </row>
  </sheetData>
  <autoFilter ref="A4:AK34" xr:uid="{37A68E0E-E251-43B8-B1E1-10E79D578FC3}"/>
  <mergeCells count="20">
    <mergeCell ref="E1:G3"/>
    <mergeCell ref="H1:V1"/>
    <mergeCell ref="H2:J3"/>
    <mergeCell ref="K2:V2"/>
    <mergeCell ref="X2:Z3"/>
    <mergeCell ref="AF2:AJ3"/>
    <mergeCell ref="K3:L3"/>
    <mergeCell ref="M3:N3"/>
    <mergeCell ref="O3:P3"/>
    <mergeCell ref="Q3:R3"/>
    <mergeCell ref="S3:T3"/>
    <mergeCell ref="U3:V3"/>
    <mergeCell ref="AA2:AE3"/>
    <mergeCell ref="A34:B34"/>
    <mergeCell ref="A28:B28"/>
    <mergeCell ref="A29:B29"/>
    <mergeCell ref="A30:B30"/>
    <mergeCell ref="A31:B31"/>
    <mergeCell ref="A32:B32"/>
    <mergeCell ref="A33:B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8E0E-E251-43B8-B1E1-10E79D578FC3}">
  <dimension ref="A1:AL41"/>
  <sheetViews>
    <sheetView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L33" sqref="AL33"/>
    </sheetView>
  </sheetViews>
  <sheetFormatPr defaultRowHeight="15" outlineLevelCol="1" x14ac:dyDescent="0.25"/>
  <cols>
    <col min="1" max="1" width="12.28515625" customWidth="1"/>
    <col min="2" max="2" width="11.85546875" customWidth="1"/>
    <col min="3" max="4" width="13.85546875" customWidth="1"/>
    <col min="5" max="5" width="18.42578125" customWidth="1" outlineLevel="1"/>
    <col min="6" max="6" width="26.7109375" customWidth="1" outlineLevel="1"/>
    <col min="7" max="7" width="20" customWidth="1" outlineLevel="1"/>
    <col min="8" max="8" width="16.85546875" customWidth="1" outlineLevel="1"/>
    <col min="9" max="9" width="27" customWidth="1" outlineLevel="1"/>
    <col min="10" max="10" width="17.140625" customWidth="1" outlineLevel="1"/>
    <col min="11" max="11" width="20.5703125" customWidth="1" outlineLevel="1" collapsed="1"/>
    <col min="12" max="12" width="31.28515625" customWidth="1" outlineLevel="1"/>
    <col min="13" max="13" width="21.5703125" customWidth="1" outlineLevel="1"/>
    <col min="14" max="14" width="28.42578125" customWidth="1" outlineLevel="1"/>
    <col min="15" max="15" width="23.42578125" customWidth="1" outlineLevel="1"/>
    <col min="16" max="18" width="26.140625" customWidth="1" outlineLevel="1"/>
    <col min="19" max="19" width="24.140625" customWidth="1" outlineLevel="1"/>
    <col min="20" max="20" width="28.7109375" customWidth="1" outlineLevel="1"/>
    <col min="21" max="21" width="23.140625" customWidth="1" outlineLevel="1"/>
    <col min="22" max="26" width="27.85546875" customWidth="1" outlineLevel="1"/>
    <col min="27" max="29" width="25.85546875" customWidth="1"/>
    <col min="30" max="31" width="27.85546875" customWidth="1"/>
    <col min="32" max="34" width="23.42578125" hidden="1" customWidth="1" outlineLevel="1"/>
    <col min="35" max="36" width="27.140625" hidden="1" customWidth="1" outlineLevel="1"/>
    <col min="37" max="37" width="11.5703125" bestFit="1" customWidth="1" collapsed="1"/>
    <col min="38" max="38" width="13.42578125" customWidth="1"/>
  </cols>
  <sheetData>
    <row r="1" spans="1:38" x14ac:dyDescent="0.25">
      <c r="E1" s="36" t="s">
        <v>21</v>
      </c>
      <c r="F1" s="37"/>
      <c r="G1" s="38"/>
      <c r="H1" s="45" t="s">
        <v>22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2"/>
      <c r="X1" s="12"/>
      <c r="Y1" s="12"/>
      <c r="Z1" s="12"/>
    </row>
    <row r="2" spans="1:38" ht="15" customHeight="1" x14ac:dyDescent="0.25">
      <c r="E2" s="39"/>
      <c r="F2" s="40"/>
      <c r="G2" s="41"/>
      <c r="H2" s="36" t="s">
        <v>23</v>
      </c>
      <c r="I2" s="37"/>
      <c r="J2" s="38"/>
      <c r="K2" s="45" t="s">
        <v>24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6"/>
      <c r="X2" s="36" t="s">
        <v>25</v>
      </c>
      <c r="Y2" s="37"/>
      <c r="Z2" s="38"/>
      <c r="AA2" s="47" t="s">
        <v>26</v>
      </c>
      <c r="AB2" s="48"/>
      <c r="AC2" s="48"/>
      <c r="AD2" s="48"/>
      <c r="AE2" s="52"/>
      <c r="AF2" s="46" t="s">
        <v>27</v>
      </c>
      <c r="AG2" s="46"/>
      <c r="AH2" s="46"/>
      <c r="AI2" s="46"/>
      <c r="AJ2" s="46"/>
    </row>
    <row r="3" spans="1:38" ht="38.25" customHeight="1" x14ac:dyDescent="0.25">
      <c r="E3" s="42"/>
      <c r="F3" s="43"/>
      <c r="G3" s="44"/>
      <c r="H3" s="42"/>
      <c r="I3" s="43"/>
      <c r="J3" s="44"/>
      <c r="K3" s="46" t="s">
        <v>28</v>
      </c>
      <c r="L3" s="46"/>
      <c r="M3" s="47" t="s">
        <v>50</v>
      </c>
      <c r="N3" s="48"/>
      <c r="O3" s="46" t="s">
        <v>51</v>
      </c>
      <c r="P3" s="46"/>
      <c r="Q3" s="49" t="s">
        <v>29</v>
      </c>
      <c r="R3" s="50"/>
      <c r="S3" s="51" t="s">
        <v>30</v>
      </c>
      <c r="T3" s="51"/>
      <c r="U3" s="51" t="s">
        <v>31</v>
      </c>
      <c r="V3" s="51"/>
      <c r="W3" s="15"/>
      <c r="X3" s="42"/>
      <c r="Y3" s="43"/>
      <c r="Z3" s="44"/>
      <c r="AA3" s="53"/>
      <c r="AB3" s="54"/>
      <c r="AC3" s="54"/>
      <c r="AD3" s="54"/>
      <c r="AE3" s="55"/>
      <c r="AF3" s="46"/>
      <c r="AG3" s="46"/>
      <c r="AH3" s="46"/>
      <c r="AI3" s="46"/>
      <c r="AJ3" s="46"/>
    </row>
    <row r="4" spans="1:38" ht="45" x14ac:dyDescent="0.25">
      <c r="A4" s="5" t="s">
        <v>32</v>
      </c>
      <c r="B4" s="5" t="s">
        <v>1</v>
      </c>
      <c r="C4" s="6" t="s">
        <v>33</v>
      </c>
      <c r="D4" s="6" t="s">
        <v>34</v>
      </c>
      <c r="E4" s="6" t="s">
        <v>35</v>
      </c>
      <c r="F4" s="6" t="s">
        <v>36</v>
      </c>
      <c r="G4" s="6" t="s">
        <v>37</v>
      </c>
      <c r="H4" s="6" t="s">
        <v>35</v>
      </c>
      <c r="I4" s="6" t="s">
        <v>36</v>
      </c>
      <c r="J4" s="6" t="s">
        <v>37</v>
      </c>
      <c r="K4" s="6" t="s">
        <v>35</v>
      </c>
      <c r="L4" s="6" t="s">
        <v>36</v>
      </c>
      <c r="M4" s="6" t="s">
        <v>35</v>
      </c>
      <c r="N4" s="6" t="s">
        <v>36</v>
      </c>
      <c r="O4" s="6" t="s">
        <v>35</v>
      </c>
      <c r="P4" s="6" t="s">
        <v>36</v>
      </c>
      <c r="Q4" s="6" t="s">
        <v>35</v>
      </c>
      <c r="R4" s="6" t="s">
        <v>36</v>
      </c>
      <c r="S4" s="6" t="s">
        <v>35</v>
      </c>
      <c r="T4" s="6" t="s">
        <v>36</v>
      </c>
      <c r="U4" s="6" t="s">
        <v>35</v>
      </c>
      <c r="V4" s="6" t="s">
        <v>36</v>
      </c>
      <c r="W4" s="6"/>
      <c r="X4" s="6" t="s">
        <v>35</v>
      </c>
      <c r="Y4" s="6" t="s">
        <v>38</v>
      </c>
      <c r="Z4" s="6" t="s">
        <v>36</v>
      </c>
      <c r="AA4" s="6" t="s">
        <v>35</v>
      </c>
      <c r="AB4" s="6" t="s">
        <v>38</v>
      </c>
      <c r="AC4" s="6" t="s">
        <v>39</v>
      </c>
      <c r="AD4" s="6" t="s">
        <v>36</v>
      </c>
      <c r="AE4" s="6" t="s">
        <v>40</v>
      </c>
      <c r="AF4" s="14" t="s">
        <v>35</v>
      </c>
      <c r="AG4" s="14" t="s">
        <v>38</v>
      </c>
      <c r="AH4" s="14" t="s">
        <v>41</v>
      </c>
      <c r="AI4" s="14" t="s">
        <v>36</v>
      </c>
      <c r="AJ4" s="6" t="s">
        <v>42</v>
      </c>
    </row>
    <row r="5" spans="1:38" x14ac:dyDescent="0.25">
      <c r="A5" s="5">
        <v>1</v>
      </c>
      <c r="B5" s="5">
        <v>2</v>
      </c>
      <c r="C5" s="6">
        <v>3</v>
      </c>
      <c r="D5" s="6">
        <v>4</v>
      </c>
      <c r="E5" s="6">
        <v>5</v>
      </c>
      <c r="F5" s="5">
        <v>6</v>
      </c>
      <c r="G5" s="5">
        <v>7</v>
      </c>
      <c r="H5" s="6">
        <v>8</v>
      </c>
      <c r="I5" s="6">
        <v>9</v>
      </c>
      <c r="J5" s="6">
        <v>10</v>
      </c>
      <c r="K5" s="18">
        <v>11</v>
      </c>
      <c r="L5" s="18">
        <v>12</v>
      </c>
      <c r="M5" s="19">
        <v>13</v>
      </c>
      <c r="N5" s="19">
        <v>14</v>
      </c>
      <c r="O5" s="19">
        <v>15</v>
      </c>
      <c r="P5" s="18">
        <v>16</v>
      </c>
      <c r="Q5" s="18">
        <v>17</v>
      </c>
      <c r="R5" s="19">
        <v>18</v>
      </c>
      <c r="S5" s="19">
        <v>19</v>
      </c>
      <c r="T5" s="19">
        <v>20</v>
      </c>
      <c r="U5" s="18">
        <v>21</v>
      </c>
      <c r="V5" s="18">
        <v>22</v>
      </c>
      <c r="W5" s="6">
        <v>23</v>
      </c>
      <c r="X5" s="6">
        <v>24</v>
      </c>
      <c r="Y5" s="6">
        <v>25</v>
      </c>
      <c r="Z5" s="5">
        <v>26</v>
      </c>
      <c r="AA5" s="5">
        <v>27</v>
      </c>
      <c r="AB5" s="6">
        <v>28</v>
      </c>
      <c r="AC5" s="6">
        <v>29</v>
      </c>
      <c r="AD5" s="6">
        <v>30</v>
      </c>
      <c r="AE5" s="20">
        <v>31</v>
      </c>
      <c r="AF5" s="5">
        <v>32</v>
      </c>
      <c r="AG5" s="6">
        <v>33</v>
      </c>
      <c r="AH5" s="6">
        <v>34</v>
      </c>
      <c r="AI5" s="6">
        <v>35</v>
      </c>
      <c r="AJ5" s="5">
        <v>36</v>
      </c>
    </row>
    <row r="6" spans="1:38" x14ac:dyDescent="0.25">
      <c r="A6" s="5">
        <v>1</v>
      </c>
      <c r="B6" s="5" t="s">
        <v>11</v>
      </c>
      <c r="C6" s="7">
        <v>448221139</v>
      </c>
      <c r="D6" s="9">
        <v>0.84999999848289176</v>
      </c>
      <c r="E6" s="7">
        <v>443820294.52000004</v>
      </c>
      <c r="F6" s="7">
        <v>341805605.99999958</v>
      </c>
      <c r="G6" s="7">
        <v>377265677.8879903</v>
      </c>
      <c r="H6" s="7">
        <v>59296491.64000006</v>
      </c>
      <c r="I6" s="7">
        <v>50993223.610000037</v>
      </c>
      <c r="J6" s="7">
        <f>H6*D6</f>
        <v>50402017.804040857</v>
      </c>
      <c r="K6" s="7">
        <v>8610872.3900000006</v>
      </c>
      <c r="L6" s="7">
        <v>7696183.3500000024</v>
      </c>
      <c r="M6" s="7">
        <v>11873406.48</v>
      </c>
      <c r="N6" s="7">
        <v>9243505.0899999999</v>
      </c>
      <c r="O6" s="7">
        <v>0</v>
      </c>
      <c r="P6" s="7">
        <v>0</v>
      </c>
      <c r="Q6" s="7"/>
      <c r="R6" s="7"/>
      <c r="S6" s="7">
        <v>1010797.53</v>
      </c>
      <c r="T6" s="7">
        <v>428310.91</v>
      </c>
      <c r="U6" s="7">
        <v>81897348</v>
      </c>
      <c r="V6" s="7">
        <v>46270749</v>
      </c>
      <c r="W6" s="7">
        <f>(U6+S6)*D6</f>
        <v>70471923.574719369</v>
      </c>
      <c r="X6" s="7">
        <f>E6+H6</f>
        <v>503116786.16000009</v>
      </c>
      <c r="Y6" s="7">
        <f>G6+J6</f>
        <v>427667695.69203115</v>
      </c>
      <c r="Z6" s="7">
        <f>F6+I6</f>
        <v>392798829.6099996</v>
      </c>
      <c r="AA6" s="7">
        <f>E6+H6+K6+M6+O6+Q6</f>
        <v>523601065.03000009</v>
      </c>
      <c r="AB6" s="7">
        <f>G6+J6+((K6+M6+O6+Q6)*D6)</f>
        <v>445079332.70045429</v>
      </c>
      <c r="AC6" s="7">
        <f>MIN(AB6,C6*1.15)</f>
        <v>445079332.70045429</v>
      </c>
      <c r="AD6" s="7">
        <f>F6+I6+L6+N6+P6+R6</f>
        <v>409738518.04999959</v>
      </c>
      <c r="AE6" s="17"/>
      <c r="AF6" s="7">
        <f t="shared" ref="AF6:AF27" si="0">E6+H6+K6+M6+O6+Q6</f>
        <v>523601065.03000009</v>
      </c>
      <c r="AG6" s="7">
        <f t="shared" ref="AG6:AG27" si="1">G6+J6+((K6+M6+O6+Q6)*100%)</f>
        <v>448151974.56203115</v>
      </c>
      <c r="AH6" s="7">
        <f>MIN(AG6,C6*1.15)</f>
        <v>448151974.56203115</v>
      </c>
      <c r="AI6" s="7">
        <f t="shared" ref="AI6:AI27" si="2">F6+I6+L6+N6+P6+R6</f>
        <v>409738518.04999959</v>
      </c>
      <c r="AJ6" s="7"/>
      <c r="AK6" s="8"/>
      <c r="AL6" s="8"/>
    </row>
    <row r="7" spans="1:38" x14ac:dyDescent="0.25">
      <c r="A7" s="5">
        <v>2</v>
      </c>
      <c r="B7" s="5" t="s">
        <v>11</v>
      </c>
      <c r="C7" s="7">
        <v>171083829</v>
      </c>
      <c r="D7" s="9">
        <v>0.8499999997515838</v>
      </c>
      <c r="E7" s="7">
        <v>111469540.91000004</v>
      </c>
      <c r="F7" s="7">
        <v>108881755.36999997</v>
      </c>
      <c r="G7" s="7">
        <v>94749109.650237188</v>
      </c>
      <c r="H7" s="7">
        <v>61516740.900000036</v>
      </c>
      <c r="I7" s="7">
        <v>55733803.649999999</v>
      </c>
      <c r="J7" s="7">
        <f t="shared" ref="J7:J27" si="3">H7*D7</f>
        <v>52289229.749718279</v>
      </c>
      <c r="K7" s="7">
        <v>8410099.0300000012</v>
      </c>
      <c r="L7" s="7">
        <v>8143224.4100000001</v>
      </c>
      <c r="M7" s="7">
        <v>11381769.800000001</v>
      </c>
      <c r="N7" s="7">
        <v>11381412.779999999</v>
      </c>
      <c r="O7" s="7">
        <v>0</v>
      </c>
      <c r="P7" s="7">
        <v>0</v>
      </c>
      <c r="Q7" s="7"/>
      <c r="R7" s="7"/>
      <c r="S7" s="7">
        <v>1949327.83</v>
      </c>
      <c r="T7" s="7">
        <v>1949327.83</v>
      </c>
      <c r="U7" s="7">
        <v>0</v>
      </c>
      <c r="V7" s="7">
        <v>0</v>
      </c>
      <c r="W7" s="7">
        <f t="shared" ref="W7:W27" si="4">(U7+S7)*D7</f>
        <v>1656928.6550157554</v>
      </c>
      <c r="X7" s="7">
        <f t="shared" ref="X7:X27" si="5">E7+H7</f>
        <v>172986281.81000006</v>
      </c>
      <c r="Y7" s="7">
        <f t="shared" ref="Y7:Y27" si="6">G7+J7</f>
        <v>147038339.39995545</v>
      </c>
      <c r="Z7" s="7">
        <f t="shared" ref="Z7:Z27" si="7">F7+I7</f>
        <v>164615559.01999998</v>
      </c>
      <c r="AA7" s="7">
        <f t="shared" ref="AA7:AA27" si="8">E7+H7+K7+M7+O7+Q7</f>
        <v>192778150.64000008</v>
      </c>
      <c r="AB7" s="7">
        <f t="shared" ref="AB7:AB27" si="9">G7+J7+((K7+M7+O7+Q7)*D7)</f>
        <v>163861427.90053883</v>
      </c>
      <c r="AC7" s="7">
        <f t="shared" ref="AC7:AC27" si="10">MIN(AB7,C7*1.15)</f>
        <v>163861427.90053883</v>
      </c>
      <c r="AD7" s="7">
        <f t="shared" ref="AD7:AD27" si="11">F7+I7+L7+N7+P7+R7</f>
        <v>184140196.20999998</v>
      </c>
      <c r="AE7" s="17"/>
      <c r="AF7" s="7">
        <f t="shared" si="0"/>
        <v>192778150.64000008</v>
      </c>
      <c r="AG7" s="7">
        <f t="shared" si="1"/>
        <v>166830208.22995546</v>
      </c>
      <c r="AH7" s="7">
        <f t="shared" ref="AH7:AH27" si="12">MIN(AG7,C7*1.15)</f>
        <v>166830208.22995546</v>
      </c>
      <c r="AI7" s="7">
        <f t="shared" si="2"/>
        <v>184140196.20999998</v>
      </c>
      <c r="AJ7" s="7"/>
      <c r="AK7" s="8"/>
      <c r="AL7" s="8"/>
    </row>
    <row r="8" spans="1:38" x14ac:dyDescent="0.25">
      <c r="A8" s="5">
        <v>3</v>
      </c>
      <c r="B8" s="5" t="s">
        <v>11</v>
      </c>
      <c r="C8" s="7">
        <v>352505296</v>
      </c>
      <c r="D8" s="9">
        <v>0.84999999168097617</v>
      </c>
      <c r="E8" s="7">
        <v>359225672.86999971</v>
      </c>
      <c r="F8" s="7">
        <v>275825647.01000005</v>
      </c>
      <c r="G8" s="7">
        <v>305341819.09154224</v>
      </c>
      <c r="H8" s="7">
        <v>70113807.620000035</v>
      </c>
      <c r="I8" s="7">
        <v>57495154.45000001</v>
      </c>
      <c r="J8" s="7">
        <f t="shared" si="3"/>
        <v>59596735.893721595</v>
      </c>
      <c r="K8" s="7">
        <v>4341350.87</v>
      </c>
      <c r="L8" s="7">
        <v>2772234.27</v>
      </c>
      <c r="M8" s="7">
        <v>8674011.7599999998</v>
      </c>
      <c r="N8" s="7">
        <v>7545745.5299999993</v>
      </c>
      <c r="O8" s="7">
        <v>0</v>
      </c>
      <c r="P8" s="7">
        <v>0</v>
      </c>
      <c r="Q8" s="7"/>
      <c r="R8" s="7"/>
      <c r="S8" s="7">
        <v>3708458.71</v>
      </c>
      <c r="T8" s="7">
        <v>2181017.9099999997</v>
      </c>
      <c r="U8" s="7">
        <v>2953026</v>
      </c>
      <c r="V8" s="7">
        <v>1958595</v>
      </c>
      <c r="W8" s="7">
        <f t="shared" si="4"/>
        <v>5662261.94808295</v>
      </c>
      <c r="X8" s="7">
        <f t="shared" si="5"/>
        <v>429339480.48999977</v>
      </c>
      <c r="Y8" s="7">
        <f t="shared" si="6"/>
        <v>364938554.98526382</v>
      </c>
      <c r="Z8" s="7">
        <f t="shared" si="7"/>
        <v>333320801.46000004</v>
      </c>
      <c r="AA8" s="7">
        <f t="shared" si="8"/>
        <v>442354843.11999977</v>
      </c>
      <c r="AB8" s="7">
        <f t="shared" si="9"/>
        <v>376001613.11248869</v>
      </c>
      <c r="AC8" s="7">
        <f t="shared" si="10"/>
        <v>376001613.11248869</v>
      </c>
      <c r="AD8" s="7">
        <f t="shared" si="11"/>
        <v>343638781.25999999</v>
      </c>
      <c r="AE8" s="17"/>
      <c r="AF8" s="7">
        <f t="shared" si="0"/>
        <v>442354843.11999977</v>
      </c>
      <c r="AG8" s="7">
        <f t="shared" si="1"/>
        <v>377953917.61526382</v>
      </c>
      <c r="AH8" s="7">
        <f t="shared" si="12"/>
        <v>377953917.61526382</v>
      </c>
      <c r="AI8" s="7">
        <f t="shared" si="2"/>
        <v>343638781.25999999</v>
      </c>
      <c r="AJ8" s="7"/>
      <c r="AK8" s="8"/>
      <c r="AL8" s="8"/>
    </row>
    <row r="9" spans="1:38" x14ac:dyDescent="0.25">
      <c r="A9" s="5">
        <v>3</v>
      </c>
      <c r="B9" s="5" t="s">
        <v>12</v>
      </c>
      <c r="C9" s="7">
        <v>17799857</v>
      </c>
      <c r="D9" s="9">
        <v>0.84999996896042596</v>
      </c>
      <c r="E9" s="7">
        <v>19321334.880000006</v>
      </c>
      <c r="F9" s="7">
        <v>19324204.500000004</v>
      </c>
      <c r="G9" s="7">
        <v>16423134.052122734</v>
      </c>
      <c r="H9" s="7">
        <v>1526503.9000000001</v>
      </c>
      <c r="I9" s="7">
        <v>1528264.2699999996</v>
      </c>
      <c r="J9" s="7">
        <f t="shared" si="3"/>
        <v>1297528.2676179693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/>
      <c r="R9" s="7"/>
      <c r="S9" s="7">
        <v>0</v>
      </c>
      <c r="T9" s="7">
        <v>0</v>
      </c>
      <c r="U9" s="7">
        <v>0</v>
      </c>
      <c r="V9" s="7">
        <v>0</v>
      </c>
      <c r="W9" s="7">
        <f t="shared" si="4"/>
        <v>0</v>
      </c>
      <c r="X9" s="7">
        <f t="shared" si="5"/>
        <v>20847838.780000005</v>
      </c>
      <c r="Y9" s="7">
        <f t="shared" si="6"/>
        <v>17720662.319740705</v>
      </c>
      <c r="Z9" s="7">
        <f t="shared" si="7"/>
        <v>20852468.770000003</v>
      </c>
      <c r="AA9" s="7">
        <f t="shared" si="8"/>
        <v>20847838.780000005</v>
      </c>
      <c r="AB9" s="7">
        <f t="shared" si="9"/>
        <v>17720662.319740705</v>
      </c>
      <c r="AC9" s="7">
        <f t="shared" si="10"/>
        <v>17720662.319740705</v>
      </c>
      <c r="AD9" s="7">
        <f t="shared" si="11"/>
        <v>20852468.770000003</v>
      </c>
      <c r="AE9" s="17"/>
      <c r="AF9" s="7">
        <f t="shared" si="0"/>
        <v>20847838.780000005</v>
      </c>
      <c r="AG9" s="7">
        <f t="shared" si="1"/>
        <v>17720662.319740705</v>
      </c>
      <c r="AH9" s="7">
        <f t="shared" si="12"/>
        <v>17720662.319740705</v>
      </c>
      <c r="AI9" s="7">
        <f t="shared" si="2"/>
        <v>20852468.770000003</v>
      </c>
      <c r="AJ9" s="7"/>
      <c r="AK9" s="8"/>
      <c r="AL9" s="8"/>
    </row>
    <row r="10" spans="1:38" x14ac:dyDescent="0.25">
      <c r="A10" s="5">
        <v>4</v>
      </c>
      <c r="B10" s="5" t="s">
        <v>11</v>
      </c>
      <c r="C10" s="7">
        <v>290594229</v>
      </c>
      <c r="D10" s="9">
        <v>0.8499999938574142</v>
      </c>
      <c r="E10" s="7">
        <v>236452194.60999995</v>
      </c>
      <c r="F10" s="7">
        <v>206363574.88000008</v>
      </c>
      <c r="G10" s="7">
        <v>201001025.80089143</v>
      </c>
      <c r="H10" s="7">
        <v>67011641.259999953</v>
      </c>
      <c r="I10" s="7">
        <v>60520815.329999968</v>
      </c>
      <c r="J10" s="7">
        <f t="shared" si="3"/>
        <v>56959894.659375206</v>
      </c>
      <c r="K10" s="7">
        <v>6471384.4799999995</v>
      </c>
      <c r="L10" s="7">
        <v>5545574.6800000006</v>
      </c>
      <c r="M10" s="7">
        <v>50839759.449999996</v>
      </c>
      <c r="N10" s="7">
        <v>50756679.779999994</v>
      </c>
      <c r="O10" s="7">
        <v>1027399.95</v>
      </c>
      <c r="P10" s="7">
        <v>1027399.95</v>
      </c>
      <c r="Q10" s="7"/>
      <c r="R10" s="7"/>
      <c r="S10" s="7">
        <v>3190748.04</v>
      </c>
      <c r="T10" s="7">
        <v>2925917.8000000003</v>
      </c>
      <c r="U10" s="7">
        <v>4179207</v>
      </c>
      <c r="V10" s="7">
        <v>3784902</v>
      </c>
      <c r="W10" s="7">
        <f t="shared" si="4"/>
        <v>6264461.7387294192</v>
      </c>
      <c r="X10" s="7">
        <f t="shared" si="5"/>
        <v>303463835.86999989</v>
      </c>
      <c r="Y10" s="7">
        <f t="shared" si="6"/>
        <v>257960920.46026665</v>
      </c>
      <c r="Z10" s="7">
        <f t="shared" si="7"/>
        <v>266884390.21000004</v>
      </c>
      <c r="AA10" s="7">
        <f t="shared" si="8"/>
        <v>361802379.74999988</v>
      </c>
      <c r="AB10" s="7">
        <f t="shared" si="9"/>
        <v>307548682.39991713</v>
      </c>
      <c r="AC10" s="7">
        <f t="shared" si="10"/>
        <v>307548682.39991713</v>
      </c>
      <c r="AD10" s="7">
        <f t="shared" si="11"/>
        <v>324214044.62</v>
      </c>
      <c r="AE10" s="17"/>
      <c r="AF10" s="7">
        <f t="shared" si="0"/>
        <v>361802379.74999988</v>
      </c>
      <c r="AG10" s="7">
        <f t="shared" si="1"/>
        <v>316299464.34026664</v>
      </c>
      <c r="AH10" s="7">
        <f t="shared" si="12"/>
        <v>316299464.34026664</v>
      </c>
      <c r="AI10" s="7">
        <f t="shared" si="2"/>
        <v>324214044.62</v>
      </c>
      <c r="AJ10" s="7"/>
      <c r="AK10" s="8"/>
      <c r="AL10" s="8"/>
    </row>
    <row r="11" spans="1:38" x14ac:dyDescent="0.25">
      <c r="A11" s="5">
        <v>4</v>
      </c>
      <c r="B11" s="5" t="s">
        <v>13</v>
      </c>
      <c r="C11" s="7">
        <v>362637128</v>
      </c>
      <c r="D11" s="9">
        <v>0.84999999660128567</v>
      </c>
      <c r="E11" s="7">
        <v>196706819.29999998</v>
      </c>
      <c r="F11" s="7">
        <v>104633966.11999997</v>
      </c>
      <c r="G11" s="7">
        <v>167200795.74304909</v>
      </c>
      <c r="H11" s="7">
        <v>196815332.31</v>
      </c>
      <c r="I11" s="7">
        <v>135325001.61999997</v>
      </c>
      <c r="J11" s="7">
        <f>H11*D11</f>
        <v>167293031.79458091</v>
      </c>
      <c r="K11" s="7">
        <v>41760407.890000001</v>
      </c>
      <c r="L11" s="7">
        <v>25185755.999999996</v>
      </c>
      <c r="M11" s="7">
        <v>134983270.13</v>
      </c>
      <c r="N11" s="7">
        <v>126285840.16</v>
      </c>
      <c r="O11" s="7">
        <v>0</v>
      </c>
      <c r="P11" s="7">
        <v>0</v>
      </c>
      <c r="Q11" s="7"/>
      <c r="R11" s="7"/>
      <c r="S11" s="7">
        <v>17792809.449999999</v>
      </c>
      <c r="T11" s="7">
        <v>5918238.5999999996</v>
      </c>
      <c r="U11" s="7">
        <v>579571.76</v>
      </c>
      <c r="V11" s="7">
        <v>484282.87</v>
      </c>
      <c r="W11" s="7">
        <f t="shared" si="4"/>
        <v>15616523.966057526</v>
      </c>
      <c r="X11" s="7">
        <f t="shared" si="5"/>
        <v>393522151.61000001</v>
      </c>
      <c r="Y11" s="7">
        <f t="shared" si="6"/>
        <v>334493827.53762996</v>
      </c>
      <c r="Z11" s="7">
        <f t="shared" si="7"/>
        <v>239958967.73999995</v>
      </c>
      <c r="AA11" s="7">
        <f t="shared" si="8"/>
        <v>570265829.63</v>
      </c>
      <c r="AB11" s="7">
        <f t="shared" si="9"/>
        <v>484725953.25392866</v>
      </c>
      <c r="AC11" s="7">
        <f t="shared" si="10"/>
        <v>417032697.19999999</v>
      </c>
      <c r="AD11" s="7">
        <f t="shared" si="11"/>
        <v>391430563.89999998</v>
      </c>
      <c r="AE11" s="17"/>
      <c r="AF11" s="7">
        <f t="shared" si="0"/>
        <v>570265829.63</v>
      </c>
      <c r="AG11" s="7">
        <f t="shared" si="1"/>
        <v>511237505.55762994</v>
      </c>
      <c r="AH11" s="7">
        <f t="shared" si="12"/>
        <v>417032697.19999999</v>
      </c>
      <c r="AI11" s="7">
        <f t="shared" si="2"/>
        <v>391430563.89999998</v>
      </c>
      <c r="AJ11" s="7"/>
      <c r="AK11" s="8"/>
      <c r="AL11" s="8"/>
    </row>
    <row r="12" spans="1:38" x14ac:dyDescent="0.25">
      <c r="A12" s="5">
        <v>5</v>
      </c>
      <c r="B12" s="5" t="s">
        <v>11</v>
      </c>
      <c r="C12" s="7">
        <v>390526470</v>
      </c>
      <c r="D12" s="9">
        <v>0.84996299820999477</v>
      </c>
      <c r="E12" s="7">
        <v>407197858.59999973</v>
      </c>
      <c r="F12" s="7">
        <v>344424577.58000034</v>
      </c>
      <c r="G12" s="7">
        <v>346116262.52235651</v>
      </c>
      <c r="H12" s="7">
        <v>5299981.7099999515</v>
      </c>
      <c r="I12" s="7">
        <v>-3939481.7100000386</v>
      </c>
      <c r="J12" s="7">
        <f t="shared" si="3"/>
        <v>4504788.3446896942</v>
      </c>
      <c r="K12" s="7">
        <v>7541204.7600000016</v>
      </c>
      <c r="L12" s="7">
        <v>6272261.1000000015</v>
      </c>
      <c r="M12" s="7">
        <v>17972453.780000001</v>
      </c>
      <c r="N12" s="7">
        <v>15705368.096630001</v>
      </c>
      <c r="O12" s="7">
        <v>7136414.8700000001</v>
      </c>
      <c r="P12" s="7">
        <v>6633316.7400000002</v>
      </c>
      <c r="Q12" s="7"/>
      <c r="R12" s="7"/>
      <c r="S12" s="7">
        <v>6951728.3199999994</v>
      </c>
      <c r="T12" s="7">
        <v>5301320.7699999996</v>
      </c>
      <c r="U12" s="7">
        <v>9360801</v>
      </c>
      <c r="V12" s="7">
        <v>7215049</v>
      </c>
      <c r="W12" s="7">
        <f t="shared" si="4"/>
        <v>13865046.329215648</v>
      </c>
      <c r="X12" s="7">
        <f t="shared" si="5"/>
        <v>412497840.3099997</v>
      </c>
      <c r="Y12" s="7">
        <f t="shared" si="6"/>
        <v>350621050.86704618</v>
      </c>
      <c r="Z12" s="7">
        <f t="shared" si="7"/>
        <v>340485095.8700003</v>
      </c>
      <c r="AA12" s="7">
        <f t="shared" si="8"/>
        <v>445147913.71999967</v>
      </c>
      <c r="AB12" s="7">
        <f t="shared" si="9"/>
        <v>378372405.15438622</v>
      </c>
      <c r="AC12" s="7">
        <f t="shared" si="10"/>
        <v>378372405.15438622</v>
      </c>
      <c r="AD12" s="7">
        <f t="shared" si="11"/>
        <v>369096041.80663031</v>
      </c>
      <c r="AE12" s="17"/>
      <c r="AF12" s="7">
        <f t="shared" si="0"/>
        <v>445147913.71999967</v>
      </c>
      <c r="AG12" s="7">
        <f t="shared" si="1"/>
        <v>383271124.2770462</v>
      </c>
      <c r="AH12" s="7">
        <f t="shared" si="12"/>
        <v>383271124.2770462</v>
      </c>
      <c r="AI12" s="7">
        <f t="shared" si="2"/>
        <v>369096041.80663031</v>
      </c>
      <c r="AJ12" s="7"/>
      <c r="AK12" s="8"/>
      <c r="AL12" s="8"/>
    </row>
    <row r="13" spans="1:38" x14ac:dyDescent="0.25">
      <c r="A13" s="5">
        <v>5</v>
      </c>
      <c r="B13" s="5" t="s">
        <v>13</v>
      </c>
      <c r="C13" s="7">
        <v>191923724</v>
      </c>
      <c r="D13" s="9">
        <v>0.84999999424250439</v>
      </c>
      <c r="E13" s="7">
        <v>196020431.01999989</v>
      </c>
      <c r="F13" s="7">
        <v>147267135.19000012</v>
      </c>
      <c r="G13" s="7">
        <v>166617365.14678541</v>
      </c>
      <c r="H13" s="7">
        <v>123049946.13999993</v>
      </c>
      <c r="I13" s="7">
        <v>104348970.02000004</v>
      </c>
      <c r="J13" s="7">
        <f t="shared" si="3"/>
        <v>104592453.51054041</v>
      </c>
      <c r="K13" s="7">
        <v>12346449.040000001</v>
      </c>
      <c r="L13" s="7">
        <v>9965141.2499999981</v>
      </c>
      <c r="M13" s="7">
        <v>5560631.5600000005</v>
      </c>
      <c r="N13" s="7">
        <v>4586454.4600000009</v>
      </c>
      <c r="O13" s="7">
        <v>132780.56</v>
      </c>
      <c r="P13" s="7">
        <v>71902.83</v>
      </c>
      <c r="Q13" s="7"/>
      <c r="R13" s="7"/>
      <c r="S13" s="7">
        <v>9414700.0700000022</v>
      </c>
      <c r="T13" s="7">
        <v>5845112.7400000002</v>
      </c>
      <c r="U13" s="7">
        <v>4380999.8899999997</v>
      </c>
      <c r="V13" s="7">
        <v>2851498.6099999994</v>
      </c>
      <c r="W13" s="7">
        <f t="shared" si="4"/>
        <v>11726344.886571318</v>
      </c>
      <c r="X13" s="7">
        <f t="shared" si="5"/>
        <v>319070377.15999985</v>
      </c>
      <c r="Y13" s="7">
        <f t="shared" si="6"/>
        <v>271209818.6573258</v>
      </c>
      <c r="Z13" s="7">
        <f t="shared" si="7"/>
        <v>251616105.21000016</v>
      </c>
      <c r="AA13" s="7">
        <f t="shared" si="8"/>
        <v>337110238.31999987</v>
      </c>
      <c r="AB13" s="7">
        <f t="shared" si="9"/>
        <v>286543700.53946137</v>
      </c>
      <c r="AC13" s="7">
        <f t="shared" si="10"/>
        <v>220712282.59999999</v>
      </c>
      <c r="AD13" s="7">
        <f t="shared" si="11"/>
        <v>266239603.75000018</v>
      </c>
      <c r="AE13" s="17"/>
      <c r="AF13" s="7">
        <f t="shared" si="0"/>
        <v>337110238.31999987</v>
      </c>
      <c r="AG13" s="7">
        <f t="shared" si="1"/>
        <v>289249679.81732583</v>
      </c>
      <c r="AH13" s="7">
        <f t="shared" si="12"/>
        <v>220712282.59999999</v>
      </c>
      <c r="AI13" s="7">
        <f t="shared" si="2"/>
        <v>266239603.75000018</v>
      </c>
      <c r="AJ13" s="7"/>
      <c r="AK13" s="8"/>
      <c r="AL13" s="8"/>
    </row>
    <row r="14" spans="1:38" x14ac:dyDescent="0.25">
      <c r="A14" s="5">
        <v>6</v>
      </c>
      <c r="B14" s="5" t="s">
        <v>11</v>
      </c>
      <c r="C14" s="7">
        <v>235477563</v>
      </c>
      <c r="D14" s="9">
        <v>0.84999999711225138</v>
      </c>
      <c r="E14" s="7">
        <v>265522046.26000005</v>
      </c>
      <c r="F14" s="7">
        <v>265522470.17000008</v>
      </c>
      <c r="G14" s="7">
        <v>225693738.55423903</v>
      </c>
      <c r="H14" s="7">
        <v>982999.29999999981</v>
      </c>
      <c r="I14" s="7">
        <v>1042666.8999999997</v>
      </c>
      <c r="J14" s="7">
        <f t="shared" si="3"/>
        <v>835549.402161345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/>
      <c r="R14" s="7"/>
      <c r="S14" s="7">
        <v>0</v>
      </c>
      <c r="T14" s="7">
        <v>0</v>
      </c>
      <c r="U14" s="7">
        <v>3330597</v>
      </c>
      <c r="V14" s="7">
        <v>3330597</v>
      </c>
      <c r="W14" s="7">
        <f t="shared" si="4"/>
        <v>2831007.4403820732</v>
      </c>
      <c r="X14" s="7">
        <f t="shared" si="5"/>
        <v>266505045.56000006</v>
      </c>
      <c r="Y14" s="7">
        <f t="shared" si="6"/>
        <v>226529287.95640039</v>
      </c>
      <c r="Z14" s="7">
        <f t="shared" si="7"/>
        <v>266565137.07000008</v>
      </c>
      <c r="AA14" s="7">
        <f t="shared" si="8"/>
        <v>266505045.56000006</v>
      </c>
      <c r="AB14" s="7">
        <f t="shared" si="9"/>
        <v>226529287.95640039</v>
      </c>
      <c r="AC14" s="7">
        <f t="shared" si="10"/>
        <v>226529287.95640039</v>
      </c>
      <c r="AD14" s="7">
        <f t="shared" si="11"/>
        <v>266565137.07000008</v>
      </c>
      <c r="AE14" s="17"/>
      <c r="AF14" s="7">
        <f t="shared" si="0"/>
        <v>266505045.56000006</v>
      </c>
      <c r="AG14" s="7">
        <f t="shared" si="1"/>
        <v>226529287.95640039</v>
      </c>
      <c r="AH14" s="7">
        <f t="shared" si="12"/>
        <v>226529287.95640039</v>
      </c>
      <c r="AI14" s="7">
        <f t="shared" si="2"/>
        <v>266565137.07000008</v>
      </c>
      <c r="AJ14" s="7"/>
      <c r="AK14" s="8"/>
      <c r="AL14" s="8"/>
    </row>
    <row r="15" spans="1:38" x14ac:dyDescent="0.25">
      <c r="A15" s="5">
        <v>6</v>
      </c>
      <c r="B15" s="5" t="s">
        <v>13</v>
      </c>
      <c r="C15" s="7">
        <v>591358030</v>
      </c>
      <c r="D15" s="9">
        <v>0.84999999561602302</v>
      </c>
      <c r="E15" s="7">
        <v>481509506.87999976</v>
      </c>
      <c r="F15" s="7">
        <v>440489974.1699999</v>
      </c>
      <c r="G15" s="7">
        <v>409283079.07256383</v>
      </c>
      <c r="H15" s="7">
        <v>87270722.700000003</v>
      </c>
      <c r="I15" s="7">
        <v>77975821.589999989</v>
      </c>
      <c r="J15" s="7">
        <f t="shared" si="3"/>
        <v>74180113.91240716</v>
      </c>
      <c r="K15" s="7">
        <v>15911370.4</v>
      </c>
      <c r="L15" s="7">
        <v>14198577.810000002</v>
      </c>
      <c r="M15" s="7">
        <v>87673443.849999994</v>
      </c>
      <c r="N15" s="7">
        <v>75466358.770000011</v>
      </c>
      <c r="O15" s="7">
        <v>8293.77</v>
      </c>
      <c r="P15" s="7">
        <v>6613.45</v>
      </c>
      <c r="Q15" s="7"/>
      <c r="R15" s="7"/>
      <c r="S15" s="7">
        <v>6694407.6600000001</v>
      </c>
      <c r="T15" s="7">
        <v>5690246.5199999996</v>
      </c>
      <c r="U15" s="7">
        <v>12452563.329999998</v>
      </c>
      <c r="V15" s="7">
        <v>11019674.449999999</v>
      </c>
      <c r="W15" s="7">
        <f t="shared" si="4"/>
        <v>16274925.257560119</v>
      </c>
      <c r="X15" s="7">
        <f t="shared" si="5"/>
        <v>568780229.5799998</v>
      </c>
      <c r="Y15" s="7">
        <f t="shared" si="6"/>
        <v>483463192.98497099</v>
      </c>
      <c r="Z15" s="7">
        <f t="shared" si="7"/>
        <v>518465795.75999987</v>
      </c>
      <c r="AA15" s="7">
        <f t="shared" si="8"/>
        <v>672373337.59999979</v>
      </c>
      <c r="AB15" s="7">
        <f t="shared" si="9"/>
        <v>571517334.34782124</v>
      </c>
      <c r="AC15" s="7">
        <f t="shared" si="10"/>
        <v>571517334.34782124</v>
      </c>
      <c r="AD15" s="7">
        <f t="shared" si="11"/>
        <v>608137345.78999996</v>
      </c>
      <c r="AE15" s="17"/>
      <c r="AF15" s="7">
        <f t="shared" si="0"/>
        <v>672373337.59999979</v>
      </c>
      <c r="AG15" s="7">
        <f t="shared" si="1"/>
        <v>587056301.00497103</v>
      </c>
      <c r="AH15" s="7">
        <f t="shared" si="12"/>
        <v>587056301.00497103</v>
      </c>
      <c r="AI15" s="7">
        <f t="shared" si="2"/>
        <v>608137345.78999996</v>
      </c>
      <c r="AJ15" s="7"/>
      <c r="AK15" s="8"/>
      <c r="AL15" s="8"/>
    </row>
    <row r="16" spans="1:38" x14ac:dyDescent="0.25">
      <c r="A16" s="5">
        <v>7</v>
      </c>
      <c r="B16" s="5" t="s">
        <v>12</v>
      </c>
      <c r="C16" s="7">
        <v>105460193</v>
      </c>
      <c r="D16" s="9">
        <v>0.84999160286240472</v>
      </c>
      <c r="E16" s="7">
        <v>112187582.17000008</v>
      </c>
      <c r="F16" s="7">
        <v>107945424.77000007</v>
      </c>
      <c r="G16" s="7">
        <v>95359272.56884782</v>
      </c>
      <c r="H16" s="7">
        <v>11727548.159999998</v>
      </c>
      <c r="I16" s="7">
        <v>11727558.439999998</v>
      </c>
      <c r="J16" s="7">
        <f t="shared" si="3"/>
        <v>9968317.4581644442</v>
      </c>
      <c r="K16" s="7">
        <v>655975.76</v>
      </c>
      <c r="L16" s="7">
        <v>655975.76</v>
      </c>
      <c r="M16" s="7">
        <v>1085285.5699999998</v>
      </c>
      <c r="N16" s="7">
        <v>1085285.5699999998</v>
      </c>
      <c r="O16" s="7">
        <v>0</v>
      </c>
      <c r="P16" s="7">
        <v>0</v>
      </c>
      <c r="Q16" s="7">
        <v>-1100000</v>
      </c>
      <c r="R16" s="7">
        <v>-1100000</v>
      </c>
      <c r="S16" s="7">
        <v>0</v>
      </c>
      <c r="T16" s="7">
        <v>0</v>
      </c>
      <c r="U16" s="7">
        <v>6166.14</v>
      </c>
      <c r="V16" s="7">
        <v>6166.14</v>
      </c>
      <c r="W16" s="7">
        <f t="shared" si="4"/>
        <v>5241.1672220739883</v>
      </c>
      <c r="X16" s="7">
        <f t="shared" si="5"/>
        <v>123915130.33000007</v>
      </c>
      <c r="Y16" s="7">
        <f t="shared" si="6"/>
        <v>105327590.02701226</v>
      </c>
      <c r="Z16" s="7">
        <f t="shared" si="7"/>
        <v>119672983.21000007</v>
      </c>
      <c r="AA16" s="7">
        <f t="shared" si="8"/>
        <v>124556391.66000007</v>
      </c>
      <c r="AB16" s="7">
        <f t="shared" si="9"/>
        <v>105872656.77275264</v>
      </c>
      <c r="AC16" s="7">
        <f t="shared" si="10"/>
        <v>105872656.77275264</v>
      </c>
      <c r="AD16" s="7">
        <f t="shared" si="11"/>
        <v>120314244.54000007</v>
      </c>
      <c r="AE16" s="17"/>
      <c r="AF16" s="7">
        <f t="shared" si="0"/>
        <v>124556391.66000007</v>
      </c>
      <c r="AG16" s="7">
        <f t="shared" si="1"/>
        <v>105968851.35701226</v>
      </c>
      <c r="AH16" s="7">
        <f t="shared" si="12"/>
        <v>105968851.35701226</v>
      </c>
      <c r="AI16" s="7">
        <f t="shared" si="2"/>
        <v>120314244.54000007</v>
      </c>
      <c r="AJ16" s="7"/>
      <c r="AK16" s="8"/>
      <c r="AL16" s="8"/>
    </row>
    <row r="17" spans="1:38" x14ac:dyDescent="0.25">
      <c r="A17" s="5">
        <v>7</v>
      </c>
      <c r="B17" s="5" t="s">
        <v>43</v>
      </c>
      <c r="C17" s="7">
        <v>58021278</v>
      </c>
      <c r="D17" s="9">
        <v>0.91891888296324387</v>
      </c>
      <c r="E17" s="7">
        <v>61776326.620000027</v>
      </c>
      <c r="F17" s="7">
        <v>56899378.310000017</v>
      </c>
      <c r="G17" s="7">
        <v>56767415.615756921</v>
      </c>
      <c r="H17" s="7">
        <v>386850.54000000021</v>
      </c>
      <c r="I17" s="7">
        <v>386850.53999999957</v>
      </c>
      <c r="J17" s="7">
        <f t="shared" si="3"/>
        <v>355484.26609052788</v>
      </c>
      <c r="K17" s="7">
        <v>58147.62</v>
      </c>
      <c r="L17" s="7">
        <v>58147.619999999995</v>
      </c>
      <c r="M17" s="7">
        <v>0</v>
      </c>
      <c r="N17" s="7">
        <v>0</v>
      </c>
      <c r="O17" s="7">
        <v>0</v>
      </c>
      <c r="P17" s="7">
        <v>0</v>
      </c>
      <c r="Q17" s="7">
        <f>1100000-32903.09</f>
        <v>1067096.9099999999</v>
      </c>
      <c r="R17" s="7">
        <f>1100000-14901.8-13625.16</f>
        <v>1071473.04</v>
      </c>
      <c r="S17" s="7">
        <v>0</v>
      </c>
      <c r="T17" s="7">
        <v>0</v>
      </c>
      <c r="U17" s="7">
        <v>0</v>
      </c>
      <c r="V17" s="7">
        <v>0</v>
      </c>
      <c r="W17" s="7">
        <f t="shared" si="4"/>
        <v>0</v>
      </c>
      <c r="X17" s="7">
        <f t="shared" si="5"/>
        <v>62163177.160000026</v>
      </c>
      <c r="Y17" s="7">
        <f t="shared" si="6"/>
        <v>57122899.881847449</v>
      </c>
      <c r="Z17" s="7">
        <f t="shared" si="7"/>
        <v>57286228.850000016</v>
      </c>
      <c r="AA17" s="7">
        <f t="shared" si="8"/>
        <v>63288421.69000002</v>
      </c>
      <c r="AB17" s="7">
        <f t="shared" si="9"/>
        <v>58156908.32841555</v>
      </c>
      <c r="AC17" s="7">
        <f t="shared" si="10"/>
        <v>58156908.32841555</v>
      </c>
      <c r="AD17" s="7">
        <f t="shared" si="11"/>
        <v>58415849.510000013</v>
      </c>
      <c r="AE17" s="17"/>
      <c r="AF17" s="7">
        <f t="shared" si="0"/>
        <v>63288421.69000002</v>
      </c>
      <c r="AG17" s="7">
        <f t="shared" si="1"/>
        <v>58248144.41184745</v>
      </c>
      <c r="AH17" s="7">
        <f t="shared" si="12"/>
        <v>58248144.41184745</v>
      </c>
      <c r="AI17" s="7">
        <f t="shared" si="2"/>
        <v>58415849.510000013</v>
      </c>
      <c r="AJ17" s="7"/>
      <c r="AK17" s="8"/>
      <c r="AL17" s="8"/>
    </row>
    <row r="18" spans="1:38" x14ac:dyDescent="0.25">
      <c r="A18" s="5">
        <v>8</v>
      </c>
      <c r="B18" s="5" t="s">
        <v>11</v>
      </c>
      <c r="C18" s="7">
        <v>272565440</v>
      </c>
      <c r="D18" s="9">
        <v>0.84999999610185362</v>
      </c>
      <c r="E18" s="7">
        <v>315788479.36000025</v>
      </c>
      <c r="F18" s="7">
        <v>246984047.49000007</v>
      </c>
      <c r="G18" s="7">
        <v>268420206.1299606</v>
      </c>
      <c r="H18" s="7">
        <v>76548034.730000019</v>
      </c>
      <c r="I18" s="7">
        <v>48920714.250000015</v>
      </c>
      <c r="J18" s="7">
        <f t="shared" si="3"/>
        <v>65065829.222104572</v>
      </c>
      <c r="K18" s="7">
        <v>2713339.7199999997</v>
      </c>
      <c r="L18" s="7">
        <v>2388367.2399999998</v>
      </c>
      <c r="M18" s="7">
        <v>6711032.1999999993</v>
      </c>
      <c r="N18" s="7">
        <v>5542123.4000000004</v>
      </c>
      <c r="O18" s="7">
        <v>400158.87</v>
      </c>
      <c r="P18" s="7">
        <v>263224.5</v>
      </c>
      <c r="Q18" s="7"/>
      <c r="R18" s="7"/>
      <c r="S18" s="7">
        <v>15803228.77</v>
      </c>
      <c r="T18" s="7">
        <v>5436118.1100000003</v>
      </c>
      <c r="U18" s="7">
        <v>7116683</v>
      </c>
      <c r="V18" s="7">
        <v>4537575</v>
      </c>
      <c r="W18" s="7">
        <f t="shared" si="4"/>
        <v>19481924.91515483</v>
      </c>
      <c r="X18" s="7">
        <f t="shared" si="5"/>
        <v>392336514.09000027</v>
      </c>
      <c r="Y18" s="7">
        <f t="shared" si="6"/>
        <v>333486035.35206515</v>
      </c>
      <c r="Z18" s="7">
        <f t="shared" si="7"/>
        <v>295904761.74000007</v>
      </c>
      <c r="AA18" s="7">
        <f t="shared" si="8"/>
        <v>402161044.88000029</v>
      </c>
      <c r="AB18" s="7">
        <f t="shared" si="9"/>
        <v>341836886.4852677</v>
      </c>
      <c r="AC18" s="7">
        <f t="shared" si="10"/>
        <v>313450256</v>
      </c>
      <c r="AD18" s="7">
        <f t="shared" si="11"/>
        <v>304098476.88000005</v>
      </c>
      <c r="AE18" s="17"/>
      <c r="AF18" s="7">
        <f t="shared" si="0"/>
        <v>402161044.88000029</v>
      </c>
      <c r="AG18" s="7">
        <f t="shared" si="1"/>
        <v>343310566.14206517</v>
      </c>
      <c r="AH18" s="7">
        <f t="shared" si="12"/>
        <v>313450256</v>
      </c>
      <c r="AI18" s="7">
        <f t="shared" si="2"/>
        <v>304098476.88000005</v>
      </c>
      <c r="AJ18" s="7"/>
      <c r="AK18" s="8"/>
      <c r="AL18" s="8"/>
    </row>
    <row r="19" spans="1:38" x14ac:dyDescent="0.25">
      <c r="A19" s="5">
        <v>8</v>
      </c>
      <c r="B19" s="5" t="s">
        <v>12</v>
      </c>
      <c r="C19" s="7">
        <v>252647648</v>
      </c>
      <c r="D19" s="9">
        <v>0.84999998586964898</v>
      </c>
      <c r="E19" s="7">
        <v>230017439.72999999</v>
      </c>
      <c r="F19" s="7">
        <v>229565813.11999992</v>
      </c>
      <c r="G19" s="7">
        <v>195514820.54423037</v>
      </c>
      <c r="H19" s="7">
        <v>46971139.82</v>
      </c>
      <c r="I19" s="7">
        <v>46971572.270000003</v>
      </c>
      <c r="J19" s="7">
        <f t="shared" si="3"/>
        <v>39925468.18328131</v>
      </c>
      <c r="K19" s="7">
        <v>9195430.3599999994</v>
      </c>
      <c r="L19" s="7">
        <v>9195430.3599999994</v>
      </c>
      <c r="M19" s="7">
        <v>3087681.59</v>
      </c>
      <c r="N19" s="7">
        <v>3087681.59</v>
      </c>
      <c r="O19" s="7">
        <v>0</v>
      </c>
      <c r="P19" s="7">
        <v>0</v>
      </c>
      <c r="Q19" s="7"/>
      <c r="R19" s="7"/>
      <c r="S19" s="7">
        <v>369452.27999999997</v>
      </c>
      <c r="T19" s="7">
        <v>369452.27999999997</v>
      </c>
      <c r="U19" s="7">
        <v>358605.49</v>
      </c>
      <c r="V19" s="7">
        <v>358605.49</v>
      </c>
      <c r="W19" s="7">
        <f t="shared" si="4"/>
        <v>618849.09421228815</v>
      </c>
      <c r="X19" s="7">
        <f t="shared" si="5"/>
        <v>276988579.55000001</v>
      </c>
      <c r="Y19" s="7">
        <f t="shared" si="6"/>
        <v>235440288.72751167</v>
      </c>
      <c r="Z19" s="7">
        <f t="shared" si="7"/>
        <v>276537385.38999993</v>
      </c>
      <c r="AA19" s="7">
        <f>E19+H19+K19+M19+O19+Q19</f>
        <v>289271691.5</v>
      </c>
      <c r="AB19" s="7">
        <f>G19+J19+((K19+M19+O19+Q19)*D19)</f>
        <v>245880933.711447</v>
      </c>
      <c r="AC19" s="7">
        <f t="shared" si="10"/>
        <v>245880933.711447</v>
      </c>
      <c r="AD19" s="7">
        <f t="shared" si="11"/>
        <v>288820497.33999991</v>
      </c>
      <c r="AE19" s="17"/>
      <c r="AF19" s="7">
        <f t="shared" si="0"/>
        <v>289271691.5</v>
      </c>
      <c r="AG19" s="7">
        <f t="shared" si="1"/>
        <v>247723400.67751166</v>
      </c>
      <c r="AH19" s="7">
        <f t="shared" si="12"/>
        <v>247723400.67751166</v>
      </c>
      <c r="AI19" s="7">
        <f t="shared" si="2"/>
        <v>288820497.33999991</v>
      </c>
      <c r="AJ19" s="7"/>
      <c r="AK19" s="8"/>
      <c r="AL19" s="8"/>
    </row>
    <row r="20" spans="1:38" x14ac:dyDescent="0.25">
      <c r="A20" s="5">
        <v>9</v>
      </c>
      <c r="B20" s="5" t="s">
        <v>11</v>
      </c>
      <c r="C20" s="7">
        <v>265728639</v>
      </c>
      <c r="D20" s="9">
        <v>0.84999999520187208</v>
      </c>
      <c r="E20" s="7">
        <v>153811686.02000001</v>
      </c>
      <c r="F20" s="7">
        <v>139128024.9799999</v>
      </c>
      <c r="G20" s="7">
        <v>130739932.42535549</v>
      </c>
      <c r="H20" s="7">
        <v>73161998.080000028</v>
      </c>
      <c r="I20" s="7">
        <v>62342731.070000023</v>
      </c>
      <c r="J20" s="7">
        <f t="shared" si="3"/>
        <v>62187698.016959399</v>
      </c>
      <c r="K20" s="7">
        <v>770722.24999999942</v>
      </c>
      <c r="L20" s="7">
        <v>-1193419.2099999983</v>
      </c>
      <c r="M20" s="7">
        <v>71901760.180000007</v>
      </c>
      <c r="N20" s="7">
        <v>64723683.889999993</v>
      </c>
      <c r="O20" s="7">
        <v>20000000</v>
      </c>
      <c r="P20" s="7">
        <v>19366000</v>
      </c>
      <c r="Q20" s="7"/>
      <c r="R20" s="7"/>
      <c r="S20" s="7">
        <v>2573704.8000000003</v>
      </c>
      <c r="T20" s="7">
        <v>1757602.95</v>
      </c>
      <c r="U20" s="7">
        <v>1084544</v>
      </c>
      <c r="V20" s="7">
        <v>1008084</v>
      </c>
      <c r="W20" s="7">
        <f t="shared" si="4"/>
        <v>3109511.4624472545</v>
      </c>
      <c r="X20" s="7">
        <f t="shared" si="5"/>
        <v>226973684.10000002</v>
      </c>
      <c r="Y20" s="7">
        <f t="shared" si="6"/>
        <v>192927630.44231489</v>
      </c>
      <c r="Z20" s="7">
        <f t="shared" si="7"/>
        <v>201470756.04999992</v>
      </c>
      <c r="AA20" s="7">
        <f t="shared" si="8"/>
        <v>319646166.53000003</v>
      </c>
      <c r="AB20" s="7">
        <f t="shared" si="9"/>
        <v>271699240.06316048</v>
      </c>
      <c r="AC20" s="7">
        <f t="shared" si="10"/>
        <v>271699240.06316048</v>
      </c>
      <c r="AD20" s="7">
        <f t="shared" si="11"/>
        <v>284367020.7299999</v>
      </c>
      <c r="AE20" s="17"/>
      <c r="AF20" s="7">
        <f t="shared" si="0"/>
        <v>319646166.53000003</v>
      </c>
      <c r="AG20" s="7">
        <f t="shared" si="1"/>
        <v>285600112.87231493</v>
      </c>
      <c r="AH20" s="7">
        <f>MIN(AG20,C20*1.15)</f>
        <v>285600112.87231493</v>
      </c>
      <c r="AI20" s="7">
        <f t="shared" si="2"/>
        <v>284367020.7299999</v>
      </c>
      <c r="AJ20" s="7"/>
      <c r="AK20" s="8"/>
      <c r="AL20" s="8"/>
    </row>
    <row r="21" spans="1:38" x14ac:dyDescent="0.25">
      <c r="A21" s="5">
        <v>9</v>
      </c>
      <c r="B21" s="5" t="s">
        <v>12</v>
      </c>
      <c r="C21" s="7">
        <v>250366448</v>
      </c>
      <c r="D21" s="9">
        <v>0.84999998947542699</v>
      </c>
      <c r="E21" s="7">
        <v>210051468.90999991</v>
      </c>
      <c r="F21" s="7">
        <v>187366421.33999994</v>
      </c>
      <c r="G21" s="7">
        <v>178599409.99697512</v>
      </c>
      <c r="H21" s="7">
        <v>74763541.269999996</v>
      </c>
      <c r="I21" s="7">
        <v>71666797.389999986</v>
      </c>
      <c r="J21" s="7">
        <f t="shared" si="3"/>
        <v>63549009.292645648</v>
      </c>
      <c r="K21" s="7">
        <v>4104314.09</v>
      </c>
      <c r="L21" s="7">
        <v>4104314.09</v>
      </c>
      <c r="M21" s="7">
        <v>17610363.609999999</v>
      </c>
      <c r="N21" s="7">
        <v>17562653.650000002</v>
      </c>
      <c r="O21" s="7">
        <v>0</v>
      </c>
      <c r="P21" s="7">
        <v>0</v>
      </c>
      <c r="Q21" s="7"/>
      <c r="R21" s="7"/>
      <c r="S21" s="7">
        <v>0</v>
      </c>
      <c r="T21" s="7">
        <v>0</v>
      </c>
      <c r="U21" s="7">
        <v>377394.61</v>
      </c>
      <c r="V21" s="7">
        <v>374218.75</v>
      </c>
      <c r="W21" s="7">
        <f t="shared" si="4"/>
        <v>320785.41452808288</v>
      </c>
      <c r="X21" s="7">
        <f t="shared" si="5"/>
        <v>284815010.17999989</v>
      </c>
      <c r="Y21" s="7">
        <f t="shared" si="6"/>
        <v>242148419.28962076</v>
      </c>
      <c r="Z21" s="7">
        <f t="shared" si="7"/>
        <v>259033218.72999993</v>
      </c>
      <c r="AA21" s="7">
        <f t="shared" si="8"/>
        <v>306529687.87999988</v>
      </c>
      <c r="AB21" s="7">
        <f t="shared" si="9"/>
        <v>260605895.10608304</v>
      </c>
      <c r="AC21" s="7">
        <f t="shared" si="10"/>
        <v>260605895.10608304</v>
      </c>
      <c r="AD21" s="7">
        <f t="shared" si="11"/>
        <v>280700186.46999991</v>
      </c>
      <c r="AE21" s="17"/>
      <c r="AF21" s="7">
        <f t="shared" si="0"/>
        <v>306529687.87999988</v>
      </c>
      <c r="AG21" s="7">
        <f t="shared" si="1"/>
        <v>263863096.98962075</v>
      </c>
      <c r="AH21" s="7">
        <f t="shared" si="12"/>
        <v>263863096.98962075</v>
      </c>
      <c r="AI21" s="7">
        <f t="shared" si="2"/>
        <v>280700186.46999991</v>
      </c>
      <c r="AJ21" s="7"/>
      <c r="AK21" s="8"/>
      <c r="AL21" s="8"/>
    </row>
    <row r="22" spans="1:38" x14ac:dyDescent="0.25">
      <c r="A22" s="5">
        <v>10</v>
      </c>
      <c r="B22" s="5" t="s">
        <v>12</v>
      </c>
      <c r="C22" s="7">
        <v>21420040</v>
      </c>
      <c r="D22" s="9">
        <v>0.84999996825402868</v>
      </c>
      <c r="E22" s="7">
        <v>21473901.410000008</v>
      </c>
      <c r="F22" s="7">
        <v>21473907.430000011</v>
      </c>
      <c r="G22" s="7">
        <v>18252815.516790144</v>
      </c>
      <c r="H22" s="7">
        <v>3169449.33</v>
      </c>
      <c r="I22" s="7">
        <v>3169452.7899999996</v>
      </c>
      <c r="J22" s="7">
        <f t="shared" si="3"/>
        <v>2694031.8298827526</v>
      </c>
      <c r="K22" s="7">
        <v>13243.61</v>
      </c>
      <c r="L22" s="7">
        <v>13243.61</v>
      </c>
      <c r="M22" s="7">
        <v>0</v>
      </c>
      <c r="N22" s="7">
        <v>0</v>
      </c>
      <c r="O22" s="7">
        <v>0</v>
      </c>
      <c r="P22" s="7">
        <v>0</v>
      </c>
      <c r="Q22" s="7"/>
      <c r="R22" s="7"/>
      <c r="S22" s="7">
        <v>0</v>
      </c>
      <c r="T22" s="7">
        <v>0</v>
      </c>
      <c r="U22" s="7">
        <v>0</v>
      </c>
      <c r="V22" s="7">
        <v>0</v>
      </c>
      <c r="W22" s="7">
        <f t="shared" si="4"/>
        <v>0</v>
      </c>
      <c r="X22" s="7">
        <f t="shared" si="5"/>
        <v>24643350.74000001</v>
      </c>
      <c r="Y22" s="7">
        <f t="shared" si="6"/>
        <v>20946847.346672896</v>
      </c>
      <c r="Z22" s="7">
        <f t="shared" si="7"/>
        <v>24643360.22000001</v>
      </c>
      <c r="AA22" s="7">
        <f t="shared" si="8"/>
        <v>24656594.350000009</v>
      </c>
      <c r="AB22" s="7">
        <f t="shared" si="9"/>
        <v>20958104.414752465</v>
      </c>
      <c r="AC22" s="7">
        <f t="shared" si="10"/>
        <v>20958104.414752465</v>
      </c>
      <c r="AD22" s="7">
        <f t="shared" si="11"/>
        <v>24656603.830000009</v>
      </c>
      <c r="AE22" s="17"/>
      <c r="AF22" s="7">
        <f t="shared" si="0"/>
        <v>24656594.350000009</v>
      </c>
      <c r="AG22" s="7">
        <f t="shared" si="1"/>
        <v>20960090.956672896</v>
      </c>
      <c r="AH22" s="7">
        <f t="shared" si="12"/>
        <v>20960090.956672896</v>
      </c>
      <c r="AI22" s="7">
        <f t="shared" si="2"/>
        <v>24656603.830000009</v>
      </c>
      <c r="AJ22" s="7"/>
      <c r="AK22" s="8"/>
      <c r="AL22" s="8"/>
    </row>
    <row r="23" spans="1:38" x14ac:dyDescent="0.25">
      <c r="A23" s="5">
        <v>11</v>
      </c>
      <c r="B23" s="5" t="s">
        <v>11</v>
      </c>
      <c r="C23" s="7">
        <v>39180553</v>
      </c>
      <c r="D23" s="9">
        <v>0.84999998589861681</v>
      </c>
      <c r="E23" s="7">
        <v>43231271.259999983</v>
      </c>
      <c r="F23" s="7">
        <v>43231288.049999982</v>
      </c>
      <c r="G23" s="7">
        <v>36746579.961379282</v>
      </c>
      <c r="H23" s="7">
        <v>2619945.96</v>
      </c>
      <c r="I23" s="7">
        <v>2619945.96</v>
      </c>
      <c r="J23" s="7">
        <f t="shared" si="3"/>
        <v>2226954.0290551381</v>
      </c>
      <c r="K23" s="7">
        <v>208750.1</v>
      </c>
      <c r="L23" s="7">
        <v>208750.1</v>
      </c>
      <c r="M23" s="7">
        <v>0</v>
      </c>
      <c r="N23" s="7">
        <v>0</v>
      </c>
      <c r="O23" s="7">
        <v>0</v>
      </c>
      <c r="P23" s="7">
        <v>0</v>
      </c>
      <c r="Q23" s="7"/>
      <c r="R23" s="7"/>
      <c r="S23" s="7">
        <v>0</v>
      </c>
      <c r="T23" s="7">
        <v>0</v>
      </c>
      <c r="U23" s="7">
        <v>0</v>
      </c>
      <c r="V23" s="7">
        <v>0</v>
      </c>
      <c r="W23" s="7">
        <f t="shared" si="4"/>
        <v>0</v>
      </c>
      <c r="X23" s="7">
        <f t="shared" si="5"/>
        <v>45851217.219999984</v>
      </c>
      <c r="Y23" s="7">
        <f t="shared" si="6"/>
        <v>38973533.990434423</v>
      </c>
      <c r="Z23" s="7">
        <f t="shared" si="7"/>
        <v>45851234.009999983</v>
      </c>
      <c r="AA23" s="7">
        <f t="shared" si="8"/>
        <v>46059967.319999985</v>
      </c>
      <c r="AB23" s="7">
        <f t="shared" si="9"/>
        <v>39150971.572490759</v>
      </c>
      <c r="AC23" s="7">
        <f t="shared" si="10"/>
        <v>39150971.572490759</v>
      </c>
      <c r="AD23" s="7">
        <f t="shared" si="11"/>
        <v>46059984.109999985</v>
      </c>
      <c r="AE23" s="17"/>
      <c r="AF23" s="7">
        <f t="shared" si="0"/>
        <v>46059967.319999985</v>
      </c>
      <c r="AG23" s="7">
        <f t="shared" si="1"/>
        <v>39182284.090434425</v>
      </c>
      <c r="AH23" s="7">
        <f t="shared" si="12"/>
        <v>39182284.090434425</v>
      </c>
      <c r="AI23" s="7">
        <f t="shared" si="2"/>
        <v>46059984.109999985</v>
      </c>
      <c r="AJ23" s="7"/>
      <c r="AK23" s="8"/>
      <c r="AL23" s="8"/>
    </row>
    <row r="24" spans="1:38" x14ac:dyDescent="0.25">
      <c r="A24" s="5">
        <v>12</v>
      </c>
      <c r="B24" s="5" t="s">
        <v>13</v>
      </c>
      <c r="C24" s="7">
        <v>40715710</v>
      </c>
      <c r="D24" s="9">
        <v>0.84999998747412253</v>
      </c>
      <c r="E24" s="7">
        <v>47879015.549999997</v>
      </c>
      <c r="F24" s="7">
        <v>47879015.550000004</v>
      </c>
      <c r="G24" s="7">
        <v>40697162.617773317</v>
      </c>
      <c r="H24" s="7">
        <v>0</v>
      </c>
      <c r="I24" s="7">
        <v>0</v>
      </c>
      <c r="J24" s="7">
        <f t="shared" si="3"/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/>
      <c r="R24" s="7"/>
      <c r="S24" s="7">
        <v>0</v>
      </c>
      <c r="T24" s="7">
        <v>0</v>
      </c>
      <c r="U24" s="7">
        <v>0</v>
      </c>
      <c r="V24" s="7">
        <v>0</v>
      </c>
      <c r="W24" s="7">
        <f t="shared" si="4"/>
        <v>0</v>
      </c>
      <c r="X24" s="7">
        <f t="shared" si="5"/>
        <v>47879015.549999997</v>
      </c>
      <c r="Y24" s="7">
        <f t="shared" si="6"/>
        <v>40697162.617773317</v>
      </c>
      <c r="Z24" s="7">
        <f t="shared" si="7"/>
        <v>47879015.550000004</v>
      </c>
      <c r="AA24" s="7">
        <f t="shared" si="8"/>
        <v>47879015.549999997</v>
      </c>
      <c r="AB24" s="7">
        <f t="shared" si="9"/>
        <v>40697162.617773317</v>
      </c>
      <c r="AC24" s="7">
        <f t="shared" si="10"/>
        <v>40697162.617773317</v>
      </c>
      <c r="AD24" s="7">
        <f t="shared" si="11"/>
        <v>47879015.550000004</v>
      </c>
      <c r="AE24" s="17"/>
      <c r="AF24" s="7">
        <f t="shared" si="0"/>
        <v>47879015.549999997</v>
      </c>
      <c r="AG24" s="7">
        <f t="shared" si="1"/>
        <v>40697162.617773317</v>
      </c>
      <c r="AH24" s="7">
        <f t="shared" si="12"/>
        <v>40697162.617773317</v>
      </c>
      <c r="AI24" s="7">
        <f t="shared" si="2"/>
        <v>47879015.550000004</v>
      </c>
      <c r="AJ24" s="7"/>
      <c r="AK24" s="8"/>
      <c r="AL24" s="8"/>
    </row>
    <row r="25" spans="1:38" x14ac:dyDescent="0.25">
      <c r="A25" s="5">
        <v>13</v>
      </c>
      <c r="B25" s="5" t="s">
        <v>44</v>
      </c>
      <c r="C25" s="7">
        <v>199954500</v>
      </c>
      <c r="D25" s="9">
        <v>1</v>
      </c>
      <c r="E25" s="7">
        <v>17903940.110000007</v>
      </c>
      <c r="F25" s="7">
        <v>14522004.020000003</v>
      </c>
      <c r="G25" s="7">
        <v>17903940.109999999</v>
      </c>
      <c r="H25" s="7">
        <v>127428166.52999993</v>
      </c>
      <c r="I25" s="7">
        <v>115121274.58999999</v>
      </c>
      <c r="J25" s="7">
        <f t="shared" si="3"/>
        <v>127428166.52999993</v>
      </c>
      <c r="K25" s="7">
        <v>10567865.510000004</v>
      </c>
      <c r="L25" s="7">
        <v>8538249.6999999993</v>
      </c>
      <c r="M25" s="7">
        <v>48838664.220000014</v>
      </c>
      <c r="N25" s="7">
        <v>45794679.430000007</v>
      </c>
      <c r="O25" s="7">
        <v>2947433.2199999997</v>
      </c>
      <c r="P25" s="7">
        <v>2565307.27</v>
      </c>
      <c r="Q25" s="7">
        <v>5646218.4699999997</v>
      </c>
      <c r="R25" s="7">
        <v>5646218.4699999997</v>
      </c>
      <c r="S25" s="7">
        <v>927494.21000000008</v>
      </c>
      <c r="T25" s="7">
        <v>632234.64</v>
      </c>
      <c r="U25" s="7">
        <v>239109</v>
      </c>
      <c r="V25" s="7">
        <v>211444</v>
      </c>
      <c r="W25" s="7">
        <f t="shared" si="4"/>
        <v>1166603.21</v>
      </c>
      <c r="X25" s="7">
        <f>E25+H25</f>
        <v>145332106.63999993</v>
      </c>
      <c r="Y25" s="7">
        <f t="shared" si="6"/>
        <v>145332106.63999993</v>
      </c>
      <c r="Z25" s="7">
        <f t="shared" si="7"/>
        <v>129643278.60999998</v>
      </c>
      <c r="AA25" s="7">
        <f>E25+H25+K25+M25+O25+Q25</f>
        <v>213332288.05999994</v>
      </c>
      <c r="AB25" s="7">
        <f t="shared" si="9"/>
        <v>213332288.05999994</v>
      </c>
      <c r="AC25" s="7">
        <f t="shared" si="10"/>
        <v>213332288.05999994</v>
      </c>
      <c r="AD25" s="7">
        <f t="shared" si="11"/>
        <v>192187733.47999999</v>
      </c>
      <c r="AE25" s="17"/>
      <c r="AF25" s="7">
        <f t="shared" si="0"/>
        <v>213332288.05999994</v>
      </c>
      <c r="AG25" s="7">
        <f t="shared" si="1"/>
        <v>213332288.05999994</v>
      </c>
      <c r="AH25" s="7">
        <f t="shared" si="12"/>
        <v>213332288.05999994</v>
      </c>
      <c r="AI25" s="7">
        <f t="shared" si="2"/>
        <v>192187733.47999999</v>
      </c>
      <c r="AJ25" s="7"/>
      <c r="AK25" s="8"/>
      <c r="AL25" s="8"/>
    </row>
    <row r="26" spans="1:38" x14ac:dyDescent="0.25">
      <c r="A26" s="5">
        <v>14</v>
      </c>
      <c r="B26" s="5" t="s">
        <v>45</v>
      </c>
      <c r="C26" s="7">
        <v>22489087</v>
      </c>
      <c r="D26" s="9">
        <v>1</v>
      </c>
      <c r="E26" s="7">
        <v>3223542.24</v>
      </c>
      <c r="F26" s="7">
        <v>3109553.9000000004</v>
      </c>
      <c r="G26" s="7">
        <v>3223542.24</v>
      </c>
      <c r="H26" s="7">
        <v>23064256.259999998</v>
      </c>
      <c r="I26" s="7">
        <v>22516416.799999997</v>
      </c>
      <c r="J26" s="7">
        <f t="shared" si="3"/>
        <v>23064256.259999998</v>
      </c>
      <c r="K26" s="7">
        <v>611631.94999999995</v>
      </c>
      <c r="L26" s="7">
        <v>611631.94999999995</v>
      </c>
      <c r="M26" s="7">
        <v>2386708.3899999997</v>
      </c>
      <c r="N26" s="7">
        <v>2335869.7999999998</v>
      </c>
      <c r="O26" s="7">
        <v>0</v>
      </c>
      <c r="P26" s="7">
        <v>0</v>
      </c>
      <c r="Q26" s="7"/>
      <c r="R26" s="7"/>
      <c r="S26" s="7">
        <v>1061054.97</v>
      </c>
      <c r="T26" s="7">
        <v>1061054.97</v>
      </c>
      <c r="U26" s="7">
        <v>0</v>
      </c>
      <c r="V26" s="7">
        <v>0</v>
      </c>
      <c r="W26" s="7">
        <f t="shared" si="4"/>
        <v>1061054.97</v>
      </c>
      <c r="X26" s="7">
        <f>E26+H26</f>
        <v>26287798.5</v>
      </c>
      <c r="Y26" s="7">
        <f t="shared" si="6"/>
        <v>26287798.5</v>
      </c>
      <c r="Z26" s="7">
        <f t="shared" si="7"/>
        <v>25625970.699999996</v>
      </c>
      <c r="AA26" s="7">
        <f t="shared" si="8"/>
        <v>29286138.84</v>
      </c>
      <c r="AB26" s="7">
        <f t="shared" si="9"/>
        <v>29286138.84</v>
      </c>
      <c r="AC26" s="7">
        <f t="shared" si="10"/>
        <v>25862450.049999997</v>
      </c>
      <c r="AD26" s="7">
        <f t="shared" si="11"/>
        <v>28573472.449999996</v>
      </c>
      <c r="AE26" s="17"/>
      <c r="AF26" s="7">
        <f t="shared" si="0"/>
        <v>29286138.84</v>
      </c>
      <c r="AG26" s="7">
        <f t="shared" si="1"/>
        <v>29286138.84</v>
      </c>
      <c r="AH26" s="7">
        <f t="shared" si="12"/>
        <v>25862450.049999997</v>
      </c>
      <c r="AI26" s="7">
        <f t="shared" si="2"/>
        <v>28573472.449999996</v>
      </c>
      <c r="AJ26" s="7"/>
      <c r="AK26" s="8"/>
      <c r="AL26" s="8"/>
    </row>
    <row r="27" spans="1:38" x14ac:dyDescent="0.25">
      <c r="A27" s="5">
        <v>15</v>
      </c>
      <c r="B27" s="5" t="s">
        <v>13</v>
      </c>
      <c r="C27" s="7">
        <v>60000000</v>
      </c>
      <c r="D27" s="9">
        <v>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f t="shared" si="3"/>
        <v>0</v>
      </c>
      <c r="K27" s="7">
        <v>60000000</v>
      </c>
      <c r="L27" s="7">
        <v>60000000</v>
      </c>
      <c r="M27" s="7">
        <v>0</v>
      </c>
      <c r="N27" s="7">
        <v>0</v>
      </c>
      <c r="O27" s="7">
        <v>0</v>
      </c>
      <c r="P27" s="7">
        <v>0</v>
      </c>
      <c r="Q27" s="7"/>
      <c r="R27" s="7"/>
      <c r="S27" s="7">
        <v>0</v>
      </c>
      <c r="T27" s="7">
        <v>0</v>
      </c>
      <c r="U27" s="7">
        <v>0</v>
      </c>
      <c r="V27" s="7">
        <v>0</v>
      </c>
      <c r="W27" s="7">
        <f t="shared" si="4"/>
        <v>0</v>
      </c>
      <c r="X27" s="7">
        <f t="shared" si="5"/>
        <v>0</v>
      </c>
      <c r="Y27" s="7">
        <f t="shared" si="6"/>
        <v>0</v>
      </c>
      <c r="Z27" s="7">
        <f t="shared" si="7"/>
        <v>0</v>
      </c>
      <c r="AA27" s="7">
        <f t="shared" si="8"/>
        <v>60000000</v>
      </c>
      <c r="AB27" s="7">
        <f t="shared" si="9"/>
        <v>60000000</v>
      </c>
      <c r="AC27" s="7">
        <f t="shared" si="10"/>
        <v>60000000</v>
      </c>
      <c r="AD27" s="7">
        <f t="shared" si="11"/>
        <v>60000000</v>
      </c>
      <c r="AE27" s="17"/>
      <c r="AF27" s="7">
        <f t="shared" si="0"/>
        <v>60000000</v>
      </c>
      <c r="AG27" s="7">
        <f t="shared" si="1"/>
        <v>60000000</v>
      </c>
      <c r="AH27" s="7">
        <f t="shared" si="12"/>
        <v>60000000</v>
      </c>
      <c r="AI27" s="7">
        <f t="shared" si="2"/>
        <v>60000000</v>
      </c>
      <c r="AJ27" s="7"/>
      <c r="AK27" s="8"/>
      <c r="AL27" s="8"/>
    </row>
    <row r="28" spans="1:38" x14ac:dyDescent="0.25">
      <c r="A28" s="56" t="s">
        <v>46</v>
      </c>
      <c r="B28" s="57"/>
      <c r="C28" s="10">
        <f>SUMIF($B$6:$B$27,"ERAF",C6:C27)</f>
        <v>2465883158</v>
      </c>
      <c r="D28" s="11"/>
      <c r="E28" s="10">
        <f>SUMIF($B$6:$B$27,"ERAF",E6:E27)</f>
        <v>2336519044.4099994</v>
      </c>
      <c r="F28" s="10">
        <f t="shared" ref="F28:J28" si="13">SUMIF($B$6:$B$27,"ERAF",F6:F27)</f>
        <v>1972166991.53</v>
      </c>
      <c r="G28" s="10">
        <f t="shared" si="13"/>
        <v>1986074352.023952</v>
      </c>
      <c r="H28" s="10">
        <f t="shared" si="13"/>
        <v>416551641.20000011</v>
      </c>
      <c r="I28" s="10">
        <f t="shared" si="13"/>
        <v>335729573.51000005</v>
      </c>
      <c r="J28" s="10">
        <f t="shared" si="13"/>
        <v>354068697.12182605</v>
      </c>
      <c r="K28" s="10">
        <f t="shared" ref="K28" si="14">SUMIF($B$6:$B$27,"ERAF",K6:K27)</f>
        <v>39067723.600000001</v>
      </c>
      <c r="L28" s="10">
        <f t="shared" ref="L28" si="15">SUMIF($B$6:$B$27,"ERAF",L6:L27)</f>
        <v>31833175.940000005</v>
      </c>
      <c r="M28" s="10">
        <f t="shared" ref="M28" si="16">SUMIF($B$6:$B$27,"ERAF",M6:M27)</f>
        <v>179354193.65000001</v>
      </c>
      <c r="N28" s="10">
        <f t="shared" ref="N28" si="17">SUMIF($B$6:$B$27,"ERAF",N6:N27)</f>
        <v>164898518.56663001</v>
      </c>
      <c r="O28" s="10">
        <f t="shared" ref="O28" si="18">SUMIF($B$6:$B$27,"ERAF",O6:O27)</f>
        <v>28563973.689999998</v>
      </c>
      <c r="P28" s="10">
        <f t="shared" ref="P28:T28" si="19">SUMIF($B$6:$B$27,"ERAF",P6:P27)</f>
        <v>27289941.190000001</v>
      </c>
      <c r="Q28" s="10">
        <f t="shared" ref="Q28" si="20">SUMIF($B$6:$B$27,"ERAF",Q6:Q27)</f>
        <v>0</v>
      </c>
      <c r="R28" s="10">
        <f t="shared" ref="R28" si="21">SUMIF($B$6:$B$27,"ERAF",R6:R27)</f>
        <v>0</v>
      </c>
      <c r="S28" s="10">
        <f t="shared" si="19"/>
        <v>35187994</v>
      </c>
      <c r="T28" s="10">
        <f t="shared" si="19"/>
        <v>19979616.280000001</v>
      </c>
      <c r="U28" s="10">
        <f>SUMIF($B$6:$B$27,"ERAF",U6:U27)</f>
        <v>109922206</v>
      </c>
      <c r="V28" s="10">
        <f>SUMIF($B$6:$B$27,"ERAF",V6:V27)</f>
        <v>68105551</v>
      </c>
      <c r="W28" s="10">
        <f>SUMIF($B$6:$B$27,"ERAF",W6:W27)</f>
        <v>123343066.0637473</v>
      </c>
      <c r="X28" s="10">
        <f t="shared" ref="X28:AI28" si="22">SUMIF($B$6:$B$27,"ERAF",X6:X27)</f>
        <v>2753070685.6099997</v>
      </c>
      <c r="Y28" s="10">
        <f t="shared" si="22"/>
        <v>2340143049.1457782</v>
      </c>
      <c r="Z28" s="10">
        <f t="shared" si="22"/>
        <v>2307896565.04</v>
      </c>
      <c r="AA28" s="10">
        <f t="shared" si="22"/>
        <v>3000056576.5500002</v>
      </c>
      <c r="AB28" s="10">
        <f t="shared" si="22"/>
        <v>2550079847.3451047</v>
      </c>
      <c r="AC28" s="10">
        <f t="shared" si="22"/>
        <v>2521693216.8598371</v>
      </c>
      <c r="AD28" s="10">
        <f t="shared" si="22"/>
        <v>2531918200.73663</v>
      </c>
      <c r="AE28" s="10">
        <f>IF(AC28&lt;AD28,AC28-C28,AD28-C28)</f>
        <v>55810058.859837055</v>
      </c>
      <c r="AF28" s="10">
        <f t="shared" si="22"/>
        <v>3000056576.5500002</v>
      </c>
      <c r="AG28" s="10">
        <f t="shared" si="22"/>
        <v>2587128940.0857782</v>
      </c>
      <c r="AH28" s="10">
        <f t="shared" si="22"/>
        <v>2557268629.9437132</v>
      </c>
      <c r="AI28" s="10">
        <f t="shared" si="22"/>
        <v>2531918200.73663</v>
      </c>
      <c r="AJ28" s="10">
        <f>IF(AH28&lt;AI28,AH28-C28,AI28-C28)</f>
        <v>66035042.736629963</v>
      </c>
    </row>
    <row r="29" spans="1:38" x14ac:dyDescent="0.25">
      <c r="A29" s="56" t="s">
        <v>47</v>
      </c>
      <c r="B29" s="57"/>
      <c r="C29" s="10">
        <f>SUMIF($B$6:$B$27,"KF",C6:C27)</f>
        <v>1246634592</v>
      </c>
      <c r="D29" s="11"/>
      <c r="E29" s="10">
        <f>SUMIF($B$6:$B$27,"KF",E6:E27)</f>
        <v>922115772.74999952</v>
      </c>
      <c r="F29" s="10">
        <f t="shared" ref="F29:J29" si="23">SUMIF($B$6:$B$27,"KF",F6:F27)</f>
        <v>740270091.02999997</v>
      </c>
      <c r="G29" s="10">
        <f t="shared" si="23"/>
        <v>783798402.58017159</v>
      </c>
      <c r="H29" s="10">
        <f t="shared" si="23"/>
        <v>407136001.14999992</v>
      </c>
      <c r="I29" s="10">
        <f t="shared" si="23"/>
        <v>317649793.23000002</v>
      </c>
      <c r="J29" s="10">
        <f t="shared" si="23"/>
        <v>346065599.21752846</v>
      </c>
      <c r="K29" s="10">
        <f t="shared" ref="K29:L29" si="24">SUMIF($B$6:$B$27,"KF",K6:K27)</f>
        <v>130018227.33</v>
      </c>
      <c r="L29" s="10">
        <f t="shared" si="24"/>
        <v>109349475.06</v>
      </c>
      <c r="M29" s="10">
        <f t="shared" ref="M29:N29" si="25">SUMIF($B$6:$B$27,"KF",M6:M27)</f>
        <v>228217345.53999999</v>
      </c>
      <c r="N29" s="10">
        <f t="shared" si="25"/>
        <v>206338653.39000002</v>
      </c>
      <c r="O29" s="10">
        <f t="shared" ref="O29:T29" si="26">SUMIF($B$6:$B$27,"KF",O6:O27)</f>
        <v>141074.32999999999</v>
      </c>
      <c r="P29" s="10">
        <f t="shared" si="26"/>
        <v>78516.28</v>
      </c>
      <c r="Q29" s="10">
        <f t="shared" ref="Q29:R29" si="27">SUMIF($B$6:$B$27,"KF",Q6:Q27)</f>
        <v>0</v>
      </c>
      <c r="R29" s="10">
        <f t="shared" si="27"/>
        <v>0</v>
      </c>
      <c r="S29" s="10">
        <f t="shared" si="26"/>
        <v>33901917.180000007</v>
      </c>
      <c r="T29" s="10">
        <f t="shared" si="26"/>
        <v>17453597.859999999</v>
      </c>
      <c r="U29" s="10">
        <f>SUMIF($B$6:$B$27,"KF",U6:U27)</f>
        <v>17413134.979999997</v>
      </c>
      <c r="V29" s="10">
        <f>SUMIF($B$6:$B$27,"KF",V6:V27)</f>
        <v>14355455.93</v>
      </c>
      <c r="W29" s="10">
        <f>SUMIF($B$6:$B$27,"KF",W6:W27)</f>
        <v>43617794.110188961</v>
      </c>
      <c r="X29" s="10">
        <f t="shared" ref="X29:AI29" si="28">SUMIF($B$6:$B$27,"KF",X6:X27)</f>
        <v>1329251773.8999996</v>
      </c>
      <c r="Y29" s="10">
        <f t="shared" si="28"/>
        <v>1129864001.7977002</v>
      </c>
      <c r="Z29" s="10">
        <f t="shared" si="28"/>
        <v>1057919884.26</v>
      </c>
      <c r="AA29" s="10">
        <f t="shared" si="28"/>
        <v>1687628421.0999997</v>
      </c>
      <c r="AB29" s="10">
        <f t="shared" si="28"/>
        <v>1443484150.7589846</v>
      </c>
      <c r="AC29" s="10">
        <f t="shared" ref="AC29" si="29">SUMIF($B$6:$B$27,"KF",AC6:AC27)</f>
        <v>1309959476.7655945</v>
      </c>
      <c r="AD29" s="10">
        <f t="shared" si="28"/>
        <v>1373686528.99</v>
      </c>
      <c r="AE29" s="10">
        <f t="shared" ref="AE29:AE33" si="30">IF(AC29&lt;AD29,AC29-C29,AD29-C29)</f>
        <v>63324884.765594482</v>
      </c>
      <c r="AF29" s="10">
        <f t="shared" si="28"/>
        <v>1687628421.0999997</v>
      </c>
      <c r="AG29" s="10">
        <f t="shared" si="28"/>
        <v>1488240648.9977</v>
      </c>
      <c r="AH29" s="10">
        <f t="shared" ref="AH29" si="31">SUMIF($B$6:$B$27,"KF",AH6:AH27)</f>
        <v>1325498443.4227443</v>
      </c>
      <c r="AI29" s="10">
        <f t="shared" si="28"/>
        <v>1373686528.99</v>
      </c>
      <c r="AJ29" s="10">
        <f t="shared" ref="AJ29:AJ34" si="32">IF(AH29&lt;AI29,AH29-C29,AI29-C29)</f>
        <v>78863851.422744274</v>
      </c>
    </row>
    <row r="30" spans="1:38" x14ac:dyDescent="0.25">
      <c r="A30" s="56" t="s">
        <v>48</v>
      </c>
      <c r="B30" s="57"/>
      <c r="C30" s="10">
        <f>SUMIF($B$6:$B$27,"ESF",C6:C27)</f>
        <v>647694186</v>
      </c>
      <c r="D30" s="11"/>
      <c r="E30" s="10">
        <f>SUMIF($B$6:$B$27,"ESF",E6:E27)</f>
        <v>593051727.10000002</v>
      </c>
      <c r="F30" s="10">
        <f t="shared" ref="F30:J30" si="33">SUMIF($B$6:$B$27,"ESF",F6:F27)</f>
        <v>565675771.15999997</v>
      </c>
      <c r="G30" s="10">
        <f t="shared" si="33"/>
        <v>504149452.67896622</v>
      </c>
      <c r="H30" s="10">
        <f t="shared" si="33"/>
        <v>138158182.47999999</v>
      </c>
      <c r="I30" s="10">
        <f t="shared" si="33"/>
        <v>135063645.16</v>
      </c>
      <c r="J30" s="10">
        <f t="shared" si="33"/>
        <v>117434355.03159213</v>
      </c>
      <c r="K30" s="10">
        <f t="shared" ref="K30:L30" si="34">SUMIF($B$6:$B$27,"ESF",K6:K27)</f>
        <v>13968963.819999998</v>
      </c>
      <c r="L30" s="10">
        <f t="shared" si="34"/>
        <v>13968963.819999998</v>
      </c>
      <c r="M30" s="10">
        <f t="shared" ref="M30:N30" si="35">SUMIF($B$6:$B$27,"ESF",M6:M27)</f>
        <v>21783330.77</v>
      </c>
      <c r="N30" s="10">
        <f t="shared" si="35"/>
        <v>21735620.810000002</v>
      </c>
      <c r="O30" s="10">
        <f t="shared" ref="O30:T30" si="36">SUMIF($B$6:$B$27,"ESF",O6:O27)</f>
        <v>0</v>
      </c>
      <c r="P30" s="10">
        <f t="shared" si="36"/>
        <v>0</v>
      </c>
      <c r="Q30" s="10">
        <f t="shared" ref="Q30:R30" si="37">SUMIF($B$6:$B$27,"ESF",Q6:Q27)</f>
        <v>-1100000</v>
      </c>
      <c r="R30" s="10">
        <f t="shared" si="37"/>
        <v>-1100000</v>
      </c>
      <c r="S30" s="10">
        <f t="shared" si="36"/>
        <v>369452.27999999997</v>
      </c>
      <c r="T30" s="10">
        <f t="shared" si="36"/>
        <v>369452.27999999997</v>
      </c>
      <c r="U30" s="10">
        <f>SUMIF($B$6:$B$27,"ESF",U6:U27)</f>
        <v>742166.24</v>
      </c>
      <c r="V30" s="10">
        <f>SUMIF($B$6:$B$27,"ESF",V6:V27)</f>
        <v>738990.38</v>
      </c>
      <c r="W30" s="10">
        <f>SUMIF($B$6:$B$27,"ESF",W6:W27)</f>
        <v>944875.67596244509</v>
      </c>
      <c r="X30" s="10">
        <f t="shared" ref="X30:AI30" si="38">SUMIF($B$6:$B$27,"ESF",X6:X27)</f>
        <v>731209909.57999992</v>
      </c>
      <c r="Y30" s="10">
        <f t="shared" si="38"/>
        <v>621583807.7105583</v>
      </c>
      <c r="Z30" s="10">
        <f t="shared" si="38"/>
        <v>700739416.31999993</v>
      </c>
      <c r="AA30" s="10">
        <f t="shared" si="38"/>
        <v>765862204.16999996</v>
      </c>
      <c r="AB30" s="10">
        <f t="shared" si="38"/>
        <v>651038252.32477593</v>
      </c>
      <c r="AC30" s="10">
        <f t="shared" ref="AC30" si="39">SUMIF($B$6:$B$27,"ESF",AC6:AC27)</f>
        <v>651038252.32477593</v>
      </c>
      <c r="AD30" s="10">
        <f t="shared" si="38"/>
        <v>735344000.94999993</v>
      </c>
      <c r="AE30" s="10">
        <f t="shared" si="30"/>
        <v>3344066.3247759342</v>
      </c>
      <c r="AF30" s="10">
        <f t="shared" si="38"/>
        <v>765862204.16999996</v>
      </c>
      <c r="AG30" s="10">
        <f t="shared" si="38"/>
        <v>656236102.30055833</v>
      </c>
      <c r="AH30" s="10">
        <f t="shared" ref="AH30" si="40">SUMIF($B$6:$B$27,"ESF",AH6:AH27)</f>
        <v>656236102.30055833</v>
      </c>
      <c r="AI30" s="10">
        <f t="shared" si="38"/>
        <v>735344000.94999993</v>
      </c>
      <c r="AJ30" s="10">
        <f t="shared" si="32"/>
        <v>8541916.3005583286</v>
      </c>
    </row>
    <row r="31" spans="1:38" x14ac:dyDescent="0.25">
      <c r="A31" s="56" t="s">
        <v>49</v>
      </c>
      <c r="B31" s="57"/>
      <c r="C31" s="10">
        <f>SUMIF($B$6:$B$27,"JNI/ESF",C6:C27)</f>
        <v>58021278</v>
      </c>
      <c r="D31" s="11"/>
      <c r="E31" s="10">
        <f>SUMIF($B$6:$B$27,"JNI/ESF",E6:E27)</f>
        <v>61776326.620000027</v>
      </c>
      <c r="F31" s="10">
        <f t="shared" ref="F31:J31" si="41">SUMIF($B$6:$B$27,"JNI/ESF",F6:F27)</f>
        <v>56899378.310000017</v>
      </c>
      <c r="G31" s="10">
        <f t="shared" si="41"/>
        <v>56767415.615756921</v>
      </c>
      <c r="H31" s="10">
        <f t="shared" si="41"/>
        <v>386850.54000000021</v>
      </c>
      <c r="I31" s="10">
        <f t="shared" si="41"/>
        <v>386850.53999999957</v>
      </c>
      <c r="J31" s="10">
        <f t="shared" si="41"/>
        <v>355484.26609052788</v>
      </c>
      <c r="K31" s="10">
        <f t="shared" ref="K31:L31" si="42">SUMIF($B$6:$B$27,"JNI/ESF",K6:K27)</f>
        <v>58147.62</v>
      </c>
      <c r="L31" s="10">
        <f t="shared" si="42"/>
        <v>58147.619999999995</v>
      </c>
      <c r="M31" s="10">
        <f t="shared" ref="M31:N31" si="43">SUMIF($B$6:$B$27,"JNI/ESF",M6:M27)</f>
        <v>0</v>
      </c>
      <c r="N31" s="10">
        <f t="shared" si="43"/>
        <v>0</v>
      </c>
      <c r="O31" s="10">
        <f t="shared" ref="O31:T31" si="44">SUMIF($B$6:$B$27,"JNI/ESF",O6:O27)</f>
        <v>0</v>
      </c>
      <c r="P31" s="10">
        <f t="shared" si="44"/>
        <v>0</v>
      </c>
      <c r="Q31" s="10">
        <f t="shared" ref="Q31:R31" si="45">SUMIF($B$6:$B$27,"JNI/ESF",Q6:Q27)</f>
        <v>1067096.9099999999</v>
      </c>
      <c r="R31" s="10">
        <f t="shared" si="45"/>
        <v>1071473.04</v>
      </c>
      <c r="S31" s="10">
        <f t="shared" si="44"/>
        <v>0</v>
      </c>
      <c r="T31" s="10">
        <f t="shared" si="44"/>
        <v>0</v>
      </c>
      <c r="U31" s="10">
        <f>SUMIF($B$6:$B$27,"JNI/ESF",U6:U27)</f>
        <v>0</v>
      </c>
      <c r="V31" s="10">
        <f>SUMIF($B$6:$B$27,"JNI/ESF",V6:V27)</f>
        <v>0</v>
      </c>
      <c r="W31" s="10">
        <f>SUMIF($B$6:$B$27,"JNI/ESF",W6:W27)</f>
        <v>0</v>
      </c>
      <c r="X31" s="10">
        <f t="shared" ref="X31:AI31" si="46">SUMIF($B$6:$B$27,"JNI/ESF",X6:X27)</f>
        <v>62163177.160000026</v>
      </c>
      <c r="Y31" s="10">
        <f t="shared" si="46"/>
        <v>57122899.881847449</v>
      </c>
      <c r="Z31" s="10">
        <f t="shared" si="46"/>
        <v>57286228.850000016</v>
      </c>
      <c r="AA31" s="10">
        <f t="shared" si="46"/>
        <v>63288421.69000002</v>
      </c>
      <c r="AB31" s="10">
        <f t="shared" si="46"/>
        <v>58156908.32841555</v>
      </c>
      <c r="AC31" s="10">
        <f t="shared" ref="AC31" si="47">SUMIF($B$6:$B$27,"JNI/ESF",AC6:AC27)</f>
        <v>58156908.32841555</v>
      </c>
      <c r="AD31" s="10">
        <f t="shared" si="46"/>
        <v>58415849.510000013</v>
      </c>
      <c r="AE31" s="10">
        <f t="shared" si="30"/>
        <v>135630.32841555029</v>
      </c>
      <c r="AF31" s="10">
        <f t="shared" si="46"/>
        <v>63288421.69000002</v>
      </c>
      <c r="AG31" s="10">
        <f t="shared" si="46"/>
        <v>58248144.41184745</v>
      </c>
      <c r="AH31" s="10">
        <f t="shared" ref="AH31" si="48">SUMIF($B$6:$B$27,"JNI/ESF",AH6:AH27)</f>
        <v>58248144.41184745</v>
      </c>
      <c r="AI31" s="10">
        <f t="shared" si="46"/>
        <v>58415849.510000013</v>
      </c>
      <c r="AJ31" s="10">
        <f t="shared" si="32"/>
        <v>226866.41184744984</v>
      </c>
    </row>
    <row r="32" spans="1:38" x14ac:dyDescent="0.25">
      <c r="A32" s="56" t="s">
        <v>44</v>
      </c>
      <c r="B32" s="57"/>
      <c r="C32" s="10">
        <f>SUMIF($B$6:$B$27,"R-EU ERAF",C6:C27)</f>
        <v>199954500</v>
      </c>
      <c r="D32" s="11"/>
      <c r="E32" s="10">
        <f>SUMIF($B$6:$B$27,"R-EU ERAF",E6:E27)</f>
        <v>17903940.110000007</v>
      </c>
      <c r="F32" s="10">
        <f t="shared" ref="F32:J32" si="49">SUMIF($B$6:$B$27,"R-EU ERAF",F6:F27)</f>
        <v>14522004.020000003</v>
      </c>
      <c r="G32" s="10">
        <f t="shared" si="49"/>
        <v>17903940.109999999</v>
      </c>
      <c r="H32" s="10">
        <f t="shared" si="49"/>
        <v>127428166.52999993</v>
      </c>
      <c r="I32" s="10">
        <f t="shared" si="49"/>
        <v>115121274.58999999</v>
      </c>
      <c r="J32" s="10">
        <f t="shared" si="49"/>
        <v>127428166.52999993</v>
      </c>
      <c r="K32" s="10">
        <f t="shared" ref="K32:L32" si="50">SUMIF($B$6:$B$27,"R-EU ERAF",K6:K27)</f>
        <v>10567865.510000004</v>
      </c>
      <c r="L32" s="10">
        <f t="shared" si="50"/>
        <v>8538249.6999999993</v>
      </c>
      <c r="M32" s="10">
        <f t="shared" ref="M32:N32" si="51">SUMIF($B$6:$B$27,"R-EU ERAF",M6:M27)</f>
        <v>48838664.220000014</v>
      </c>
      <c r="N32" s="10">
        <f t="shared" si="51"/>
        <v>45794679.430000007</v>
      </c>
      <c r="O32" s="10">
        <f t="shared" ref="O32:T32" si="52">SUMIF($B$6:$B$27,"R-EU ERAF",O6:O27)</f>
        <v>2947433.2199999997</v>
      </c>
      <c r="P32" s="10">
        <f t="shared" si="52"/>
        <v>2565307.27</v>
      </c>
      <c r="Q32" s="10">
        <f t="shared" ref="Q32:R32" si="53">SUMIF($B$6:$B$27,"R-EU ERAF",Q6:Q27)</f>
        <v>5646218.4699999997</v>
      </c>
      <c r="R32" s="10">
        <f t="shared" si="53"/>
        <v>5646218.4699999997</v>
      </c>
      <c r="S32" s="10">
        <f t="shared" si="52"/>
        <v>927494.21000000008</v>
      </c>
      <c r="T32" s="10">
        <f t="shared" si="52"/>
        <v>632234.64</v>
      </c>
      <c r="U32" s="10">
        <f>SUMIF($B$6:$B$27,"R-EU ERAF",U6:U27)</f>
        <v>239109</v>
      </c>
      <c r="V32" s="10">
        <f>SUMIF($B$6:$B$27,"R-EU ERAF",V6:V27)</f>
        <v>211444</v>
      </c>
      <c r="W32" s="10">
        <f>SUMIF($B$6:$B$27,"R-EU ERAF",W6:W27)</f>
        <v>1166603.21</v>
      </c>
      <c r="X32" s="10">
        <f t="shared" ref="X32:AI32" si="54">SUMIF($B$6:$B$27,"R-EU ERAF",X6:X27)</f>
        <v>145332106.63999993</v>
      </c>
      <c r="Y32" s="10">
        <f t="shared" si="54"/>
        <v>145332106.63999993</v>
      </c>
      <c r="Z32" s="10">
        <f t="shared" si="54"/>
        <v>129643278.60999998</v>
      </c>
      <c r="AA32" s="10">
        <f t="shared" si="54"/>
        <v>213332288.05999994</v>
      </c>
      <c r="AB32" s="10">
        <f t="shared" si="54"/>
        <v>213332288.05999994</v>
      </c>
      <c r="AC32" s="10">
        <f t="shared" ref="AC32" si="55">SUMIF($B$6:$B$27,"R-EU ERAF",AC6:AC27)</f>
        <v>213332288.05999994</v>
      </c>
      <c r="AD32" s="10">
        <f>SUMIF($B$6:$B$27,"R-EU ERAF",AD6:AD27)</f>
        <v>192187733.47999999</v>
      </c>
      <c r="AE32" s="10">
        <f>IF(AC32&lt;AD32,AC32-C32,AD32-C32)</f>
        <v>-7766766.5200000107</v>
      </c>
      <c r="AF32" s="10">
        <f t="shared" si="54"/>
        <v>213332288.05999994</v>
      </c>
      <c r="AG32" s="10">
        <f t="shared" si="54"/>
        <v>213332288.05999994</v>
      </c>
      <c r="AH32" s="10">
        <f t="shared" ref="AH32" si="56">SUMIF($B$6:$B$27,"R-EU ERAF",AH6:AH27)</f>
        <v>213332288.05999994</v>
      </c>
      <c r="AI32" s="10">
        <f t="shared" si="54"/>
        <v>192187733.47999999</v>
      </c>
      <c r="AJ32" s="10">
        <f t="shared" si="32"/>
        <v>-7766766.5200000107</v>
      </c>
    </row>
    <row r="33" spans="1:36" x14ac:dyDescent="0.25">
      <c r="A33" s="56" t="s">
        <v>45</v>
      </c>
      <c r="B33" s="57"/>
      <c r="C33" s="10">
        <f>SUMIF($B$6:$B$27,"R-EU ESF",C6:C27)</f>
        <v>22489087</v>
      </c>
      <c r="D33" s="11"/>
      <c r="E33" s="10">
        <f>SUMIF($B$6:$B$27,"R-EU ESF",E6:E27)</f>
        <v>3223542.24</v>
      </c>
      <c r="F33" s="10">
        <f t="shared" ref="F33:J33" si="57">SUMIF($B$6:$B$27,"R-EU ESF",F6:F27)</f>
        <v>3109553.9000000004</v>
      </c>
      <c r="G33" s="10">
        <f t="shared" si="57"/>
        <v>3223542.24</v>
      </c>
      <c r="H33" s="10">
        <f t="shared" si="57"/>
        <v>23064256.259999998</v>
      </c>
      <c r="I33" s="10">
        <f t="shared" si="57"/>
        <v>22516416.799999997</v>
      </c>
      <c r="J33" s="10">
        <f t="shared" si="57"/>
        <v>23064256.259999998</v>
      </c>
      <c r="K33" s="10">
        <f t="shared" ref="K33:L33" si="58">SUMIF($B$6:$B$27,"R-EU ESF",K6:K27)</f>
        <v>611631.94999999995</v>
      </c>
      <c r="L33" s="10">
        <f t="shared" si="58"/>
        <v>611631.94999999995</v>
      </c>
      <c r="M33" s="10">
        <f t="shared" ref="M33:N33" si="59">SUMIF($B$6:$B$27,"R-EU ESF",M6:M27)</f>
        <v>2386708.3899999997</v>
      </c>
      <c r="N33" s="10">
        <f t="shared" si="59"/>
        <v>2335869.7999999998</v>
      </c>
      <c r="O33" s="10">
        <f t="shared" ref="O33:T33" si="60">SUMIF($B$6:$B$27,"R-EU ESF",O6:O27)</f>
        <v>0</v>
      </c>
      <c r="P33" s="10">
        <f t="shared" si="60"/>
        <v>0</v>
      </c>
      <c r="Q33" s="10">
        <f t="shared" ref="Q33:R33" si="61">SUMIF($B$6:$B$27,"R-EU ESF",Q6:Q27)</f>
        <v>0</v>
      </c>
      <c r="R33" s="10">
        <f t="shared" si="61"/>
        <v>0</v>
      </c>
      <c r="S33" s="10">
        <f t="shared" si="60"/>
        <v>1061054.97</v>
      </c>
      <c r="T33" s="10">
        <f t="shared" si="60"/>
        <v>1061054.97</v>
      </c>
      <c r="U33" s="10">
        <f>SUMIF($B$6:$B$27,"R-EU ESF",U6:U27)</f>
        <v>0</v>
      </c>
      <c r="V33" s="10">
        <f>SUMIF($B$6:$B$27,"R-EU ESF",V6:V27)</f>
        <v>0</v>
      </c>
      <c r="W33" s="10">
        <f>SUMIF($B$6:$B$27,"R-EU ESF",W6:W27)</f>
        <v>1061054.97</v>
      </c>
      <c r="X33" s="10">
        <f t="shared" ref="X33:AI33" si="62">SUMIF($B$6:$B$27,"R-EU ESF",X6:X27)</f>
        <v>26287798.5</v>
      </c>
      <c r="Y33" s="10">
        <f t="shared" si="62"/>
        <v>26287798.5</v>
      </c>
      <c r="Z33" s="10">
        <f t="shared" si="62"/>
        <v>25625970.699999996</v>
      </c>
      <c r="AA33" s="10">
        <f t="shared" si="62"/>
        <v>29286138.84</v>
      </c>
      <c r="AB33" s="10">
        <f t="shared" si="62"/>
        <v>29286138.84</v>
      </c>
      <c r="AC33" s="10">
        <f t="shared" ref="AC33" si="63">SUMIF($B$6:$B$27,"R-EU ESF",AC6:AC27)</f>
        <v>25862450.049999997</v>
      </c>
      <c r="AD33" s="10">
        <f t="shared" si="62"/>
        <v>28573472.449999996</v>
      </c>
      <c r="AE33" s="10">
        <f t="shared" si="30"/>
        <v>3373363.049999997</v>
      </c>
      <c r="AF33" s="10">
        <f t="shared" si="62"/>
        <v>29286138.84</v>
      </c>
      <c r="AG33" s="10">
        <f t="shared" si="62"/>
        <v>29286138.84</v>
      </c>
      <c r="AH33" s="10">
        <f t="shared" ref="AH33" si="64">SUMIF($B$6:$B$27,"R-EU ESF",AH6:AH27)</f>
        <v>25862450.049999997</v>
      </c>
      <c r="AI33" s="10">
        <f t="shared" si="62"/>
        <v>28573472.449999996</v>
      </c>
      <c r="AJ33" s="10">
        <f t="shared" si="32"/>
        <v>3373363.049999997</v>
      </c>
    </row>
    <row r="34" spans="1:36" x14ac:dyDescent="0.25">
      <c r="A34" s="56" t="s">
        <v>7</v>
      </c>
      <c r="B34" s="57"/>
      <c r="C34" s="10">
        <f>C28+C30+C31+C32+C33+C29</f>
        <v>4640676801</v>
      </c>
      <c r="D34" s="11"/>
      <c r="E34" s="10">
        <f>E28+E30+E31+E32+E33+E29</f>
        <v>3934590353.2299986</v>
      </c>
      <c r="F34" s="10">
        <f t="shared" ref="F34:J34" si="65">F28+F30+F31+F32+F33+F29</f>
        <v>3352643789.9499998</v>
      </c>
      <c r="G34" s="10">
        <f t="shared" si="65"/>
        <v>3351917105.2488465</v>
      </c>
      <c r="H34" s="10">
        <f t="shared" si="65"/>
        <v>1112725098.1599998</v>
      </c>
      <c r="I34" s="10">
        <f t="shared" si="65"/>
        <v>926467553.83000004</v>
      </c>
      <c r="J34" s="10">
        <f t="shared" si="65"/>
        <v>968416558.42703712</v>
      </c>
      <c r="K34" s="10">
        <f t="shared" ref="K34" si="66">K28+K30+K31+K32+K33+K29</f>
        <v>194292559.83000001</v>
      </c>
      <c r="L34" s="10">
        <f t="shared" ref="L34" si="67">L28+L30+L31+L32+L33+L29</f>
        <v>164359644.09</v>
      </c>
      <c r="M34" s="10">
        <f t="shared" ref="M34" si="68">M28+M30+M31+M32+M33+M29</f>
        <v>480580242.57000005</v>
      </c>
      <c r="N34" s="10">
        <f t="shared" ref="N34" si="69">N28+N30+N31+N32+N33+N29</f>
        <v>441103341.99663007</v>
      </c>
      <c r="O34" s="10">
        <f t="shared" ref="O34" si="70">O28+O30+O31+O32+O33+O29</f>
        <v>31652481.239999995</v>
      </c>
      <c r="P34" s="10">
        <f t="shared" ref="P34:S34" si="71">P28+P30+P31+P32+P33+P29</f>
        <v>29933764.740000002</v>
      </c>
      <c r="Q34" s="10">
        <f t="shared" ref="Q34" si="72">Q28+Q30+Q31+Q32+Q33+Q29</f>
        <v>5613315.3799999999</v>
      </c>
      <c r="R34" s="10">
        <f t="shared" ref="R34" si="73">R28+R30+R31+R32+R33+R29</f>
        <v>5617691.5099999998</v>
      </c>
      <c r="S34" s="10">
        <f t="shared" si="71"/>
        <v>71447912.640000015</v>
      </c>
      <c r="T34" s="10">
        <f>T28+T30+T31+T32+T33+T29</f>
        <v>39495956.030000001</v>
      </c>
      <c r="U34" s="10">
        <f>U28+U30+U31+U32+U33+U29</f>
        <v>128316616.22</v>
      </c>
      <c r="V34" s="10">
        <f>V28+V30+V31+V32+V33+V29</f>
        <v>83411441.310000002</v>
      </c>
      <c r="W34" s="10">
        <f>W28+W30+W31+W32+W33+W29</f>
        <v>170133394.0298987</v>
      </c>
      <c r="X34" s="10">
        <f t="shared" ref="X34:AI34" si="74">X28+X30+X31+X32+X33+X29</f>
        <v>5047315451.3899994</v>
      </c>
      <c r="Y34" s="10">
        <f t="shared" si="74"/>
        <v>4320333663.6758842</v>
      </c>
      <c r="Z34" s="10">
        <f t="shared" si="74"/>
        <v>4279111343.7799997</v>
      </c>
      <c r="AA34" s="10">
        <f t="shared" si="74"/>
        <v>5759454050.4099998</v>
      </c>
      <c r="AB34" s="10">
        <f t="shared" si="74"/>
        <v>4945377585.6572809</v>
      </c>
      <c r="AC34" s="10">
        <f t="shared" si="74"/>
        <v>4780042592.3886232</v>
      </c>
      <c r="AD34" s="10">
        <f t="shared" si="74"/>
        <v>4920125786.1166296</v>
      </c>
      <c r="AE34" s="10">
        <f>IF(AC34&lt;AD34,AC34-C34,AD34-C34)</f>
        <v>139365791.38862324</v>
      </c>
      <c r="AF34" s="10">
        <f t="shared" si="74"/>
        <v>5759454050.4099998</v>
      </c>
      <c r="AG34" s="10">
        <f t="shared" si="74"/>
        <v>5032472262.6958838</v>
      </c>
      <c r="AH34" s="10">
        <f t="shared" si="74"/>
        <v>4836446058.1888638</v>
      </c>
      <c r="AI34" s="10">
        <f t="shared" si="74"/>
        <v>4920125786.1166296</v>
      </c>
      <c r="AJ34" s="10">
        <f t="shared" si="32"/>
        <v>195769257.18886375</v>
      </c>
    </row>
    <row r="36" spans="1:36" x14ac:dyDescent="0.25">
      <c r="S36" s="8"/>
      <c r="T36" s="8"/>
      <c r="AA36" s="8"/>
      <c r="AC36" s="8"/>
    </row>
    <row r="37" spans="1:36" x14ac:dyDescent="0.25">
      <c r="S37" s="8"/>
      <c r="T37" s="8"/>
    </row>
    <row r="38" spans="1:36" x14ac:dyDescent="0.25">
      <c r="S38" s="8"/>
      <c r="T38" s="8"/>
    </row>
    <row r="39" spans="1:36" x14ac:dyDescent="0.25">
      <c r="G39" s="21"/>
      <c r="S39" s="8"/>
      <c r="T39" s="8"/>
    </row>
    <row r="40" spans="1:36" x14ac:dyDescent="0.25">
      <c r="G40" s="22"/>
      <c r="S40" s="8"/>
      <c r="T40" s="8"/>
    </row>
    <row r="41" spans="1:36" x14ac:dyDescent="0.25">
      <c r="S41" s="8"/>
      <c r="T41" s="8"/>
    </row>
  </sheetData>
  <autoFilter ref="A4:AK35" xr:uid="{37A68E0E-E251-43B8-B1E1-10E79D578FC3}"/>
  <mergeCells count="20">
    <mergeCell ref="X2:Z3"/>
    <mergeCell ref="AA2:AE3"/>
    <mergeCell ref="AF2:AJ3"/>
    <mergeCell ref="E1:G3"/>
    <mergeCell ref="K3:L3"/>
    <mergeCell ref="M3:N3"/>
    <mergeCell ref="S3:T3"/>
    <mergeCell ref="U3:V3"/>
    <mergeCell ref="O3:P3"/>
    <mergeCell ref="Q3:R3"/>
    <mergeCell ref="K2:V2"/>
    <mergeCell ref="H1:V1"/>
    <mergeCell ref="H2:J3"/>
    <mergeCell ref="A28:B28"/>
    <mergeCell ref="A30:B30"/>
    <mergeCell ref="A31:B31"/>
    <mergeCell ref="A34:B34"/>
    <mergeCell ref="A32:B32"/>
    <mergeCell ref="A33:B33"/>
    <mergeCell ref="A29:B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FCB1-967F-4F5A-BA82-D2EFD0C6A2AA}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4018BECFA2041A654C630CBF3D616" ma:contentTypeVersion="13" ma:contentTypeDescription="Create a new document." ma:contentTypeScope="" ma:versionID="4674efa648ed98d089023b8bad970978">
  <xsd:schema xmlns:xsd="http://www.w3.org/2001/XMLSchema" xmlns:xs="http://www.w3.org/2001/XMLSchema" xmlns:p="http://schemas.microsoft.com/office/2006/metadata/properties" xmlns:ns2="bd659194-de00-4ccd-bb95-b10d17529a5f" xmlns:ns3="027db945-d6b9-442b-b2c1-2b991705272a" targetNamespace="http://schemas.microsoft.com/office/2006/metadata/properties" ma:root="true" ma:fieldsID="bd8ffc1ecbf12dfc1fe8f3cf45c4b40a" ns2:_="" ns3:_="">
    <xsd:import namespace="bd659194-de00-4ccd-bb95-b10d17529a5f"/>
    <xsd:import namespace="027db945-d6b9-442b-b2c1-2b99170527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9194-de00-4ccd-bb95-b10d17529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79952b4-9163-4466-a728-aca91a51b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db945-d6b9-442b-b2c1-2b9917052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40ff61c-3a7c-4fe9-b1e9-dc638e2d8e55}" ma:internalName="TaxCatchAll" ma:showField="CatchAllData" ma:web="027db945-d6b9-442b-b2c1-2b99170527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659194-de00-4ccd-bb95-b10d17529a5f">
      <Terms xmlns="http://schemas.microsoft.com/office/infopath/2007/PartnerControls"/>
    </lcf76f155ced4ddcb4097134ff3c332f>
    <TaxCatchAll xmlns="027db945-d6b9-442b-b2c1-2b991705272a" xsi:nil="true"/>
  </documentManagement>
</p:properties>
</file>

<file path=customXml/itemProps1.xml><?xml version="1.0" encoding="utf-8"?>
<ds:datastoreItem xmlns:ds="http://schemas.openxmlformats.org/officeDocument/2006/customXml" ds:itemID="{8DD379C0-594C-40A3-BFDF-E316CF2E69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C1FF02-EB0A-4F3B-AF7F-1CBFD84E7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9194-de00-4ccd-bb95-b10d17529a5f"/>
    <ds:schemaRef ds:uri="027db945-d6b9-442b-b2c1-2b9917052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705F2-1E71-4B74-BBA0-31B0C9D69A56}">
  <ds:schemaRefs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bd659194-de00-4ccd-bb95-b10d17529a5f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027db945-d6b9-442b-b2c1-2b991705272a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deklar_izd_prognoz_08.05.2024</vt:lpstr>
      <vt:lpstr>CFLA papildināts</vt:lpstr>
      <vt:lpstr>PV dati</vt:lpstr>
      <vt:lpstr>VI komentārs par tabulu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Reinis Dzelzkalejs</dc:creator>
  <cp:keywords/>
  <dc:description/>
  <cp:lastModifiedBy>Aigars Davidovičs</cp:lastModifiedBy>
  <cp:revision/>
  <dcterms:created xsi:type="dcterms:W3CDTF">2024-03-27T01:24:45Z</dcterms:created>
  <dcterms:modified xsi:type="dcterms:W3CDTF">2024-05-27T11:27:24Z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0x010100A3E4018BECFA2041A654C630CBF3D616</vt:lpwstr>
  </property>
  <property fmtid="{D5CDD505-2E9C-101B-9397-08002B2CF9AE}" pid="3" name="MediaServiceImageTags">
    <vt:lpwstr/>
  </property>
</Properties>
</file>