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d-david\Desktop\"/>
    </mc:Choice>
  </mc:AlternateContent>
  <xr:revisionPtr revIDLastSave="0" documentId="13_ncr:1_{648D1D97-FD5E-45BA-A9B7-703412BAA1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rki_maksajumi_GS" sheetId="1" r:id="rId1"/>
  </sheets>
  <definedNames>
    <definedName name="_xlnm.Print_Area" localSheetId="0">merki_maksajumi_GS!$A$1:$AF$28</definedName>
    <definedName name="proj.Nr.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9" i="1" l="1"/>
  <c r="AB9" i="1"/>
  <c r="AA20" i="1"/>
  <c r="AE21" i="1"/>
  <c r="AE20" i="1"/>
  <c r="AA21" i="1"/>
  <c r="AE12" i="1"/>
  <c r="AE13" i="1"/>
  <c r="AE14" i="1"/>
  <c r="AE15" i="1"/>
  <c r="AE16" i="1"/>
  <c r="AE11" i="1"/>
  <c r="AA12" i="1"/>
  <c r="AA13" i="1"/>
  <c r="AA14" i="1"/>
  <c r="AA15" i="1"/>
  <c r="AA16" i="1"/>
  <c r="AA11" i="1"/>
  <c r="Y20" i="1"/>
  <c r="Y17" i="1"/>
  <c r="Y12" i="1"/>
  <c r="Y13" i="1"/>
  <c r="Y14" i="1"/>
  <c r="Y15" i="1"/>
  <c r="Y16" i="1"/>
  <c r="Y11" i="1"/>
  <c r="Z9" i="1"/>
  <c r="C16" i="1"/>
  <c r="Y10" i="1" l="1"/>
  <c r="C11" i="1" l="1"/>
  <c r="D19" i="1"/>
  <c r="E19" i="1"/>
  <c r="F19" i="1"/>
  <c r="G19" i="1"/>
  <c r="H19" i="1"/>
  <c r="I19" i="1"/>
  <c r="S19" i="1"/>
  <c r="C19" i="1"/>
  <c r="D10" i="1"/>
  <c r="E10" i="1"/>
  <c r="F10" i="1"/>
  <c r="G10" i="1"/>
  <c r="H10" i="1"/>
  <c r="I10" i="1"/>
  <c r="U20" i="1"/>
  <c r="U19" i="1" s="1"/>
  <c r="T20" i="1"/>
  <c r="T19" i="1" s="1"/>
  <c r="S20" i="1"/>
  <c r="X20" i="1"/>
  <c r="X19" i="1" s="1"/>
  <c r="W20" i="1"/>
  <c r="W19" i="1" s="1"/>
  <c r="V20" i="1"/>
  <c r="V19" i="1" s="1"/>
  <c r="T13" i="1"/>
  <c r="S13" i="1"/>
  <c r="S10" i="1" s="1"/>
  <c r="U13" i="1"/>
  <c r="U10" i="1" s="1"/>
  <c r="T15" i="1"/>
  <c r="T14" i="1"/>
  <c r="T12" i="1"/>
  <c r="W13" i="1"/>
  <c r="X13" i="1"/>
  <c r="X10" i="1" s="1"/>
  <c r="V13" i="1"/>
  <c r="V10" i="1" s="1"/>
  <c r="W15" i="1"/>
  <c r="W14" i="1"/>
  <c r="W12" i="1"/>
  <c r="R20" i="1"/>
  <c r="R19" i="1" s="1"/>
  <c r="P20" i="1"/>
  <c r="P19" i="1" s="1"/>
  <c r="Q15" i="1"/>
  <c r="Q14" i="1"/>
  <c r="R13" i="1"/>
  <c r="R10" i="1" s="1"/>
  <c r="P13" i="1"/>
  <c r="P10" i="1" s="1"/>
  <c r="Q12" i="1"/>
  <c r="C10" i="1" l="1"/>
  <c r="W10" i="1"/>
  <c r="T10" i="1"/>
  <c r="Q13" i="1"/>
  <c r="Q10" i="1" s="1"/>
  <c r="R9" i="1"/>
  <c r="P9" i="1"/>
  <c r="Q20" i="1"/>
  <c r="Q19" i="1" s="1"/>
  <c r="C9" i="1" l="1"/>
  <c r="Q9" i="1"/>
  <c r="L20" i="1"/>
  <c r="L19" i="1" s="1"/>
  <c r="J20" i="1"/>
  <c r="M20" i="1"/>
  <c r="M19" i="1" s="1"/>
  <c r="K15" i="1"/>
  <c r="K14" i="1"/>
  <c r="L13" i="1"/>
  <c r="L10" i="1" s="1"/>
  <c r="J13" i="1"/>
  <c r="K12" i="1"/>
  <c r="O20" i="1"/>
  <c r="O19" i="1" s="1"/>
  <c r="N15" i="1"/>
  <c r="N14" i="1"/>
  <c r="O13" i="1"/>
  <c r="O10" i="1" s="1"/>
  <c r="M13" i="1"/>
  <c r="N12" i="1"/>
  <c r="K20" i="1" l="1"/>
  <c r="K19" i="1" s="1"/>
  <c r="J19" i="1"/>
  <c r="K13" i="1"/>
  <c r="K10" i="1" s="1"/>
  <c r="J10" i="1"/>
  <c r="Y19" i="1"/>
  <c r="Y9" i="1" s="1"/>
  <c r="AA19" i="1"/>
  <c r="N13" i="1"/>
  <c r="AE10" i="1" s="1"/>
  <c r="AF10" i="1" s="1"/>
  <c r="N20" i="1"/>
  <c r="N19" i="1" s="1"/>
  <c r="AC19" i="1" l="1"/>
  <c r="O9" i="1"/>
  <c r="AE19" i="1"/>
  <c r="AF19" i="1" s="1"/>
  <c r="AA10" i="1" l="1"/>
  <c r="M10" i="1"/>
  <c r="M9" i="1" s="1"/>
  <c r="AA9" i="1" l="1"/>
  <c r="AB10" i="1"/>
  <c r="AC10" i="1"/>
  <c r="AE9" i="1"/>
  <c r="N10" i="1"/>
  <c r="N9" i="1" s="1"/>
  <c r="AF9" i="1" l="1"/>
  <c r="AD9" i="1"/>
  <c r="AC9" i="1" l="1"/>
</calcChain>
</file>

<file path=xl/sharedStrings.xml><?xml version="1.0" encoding="utf-8"?>
<sst xmlns="http://schemas.openxmlformats.org/spreadsheetml/2006/main" count="93" uniqueCount="43">
  <si>
    <t>Ieviesējinstitūcijas</t>
  </si>
  <si>
    <t>ES fondu daļa</t>
  </si>
  <si>
    <t>Kopējais finansējums (ieskaitot finanšu starpinst. līdzfin.)</t>
  </si>
  <si>
    <t xml:space="preserve">Kopā 3.PV: </t>
  </si>
  <si>
    <t>ALTUM</t>
  </si>
  <si>
    <t>3.1.1.1. Aizdevumu garantijas</t>
  </si>
  <si>
    <t>3.1.1.2. Mezanīna aizdevumi</t>
  </si>
  <si>
    <t>3.1.2.2. Tehnoloģiju akselerators</t>
  </si>
  <si>
    <t>Kopā 4.PV:</t>
  </si>
  <si>
    <t>4.2.1.1. Veicināt energoefektivitātes paaugstināšanu dzīvojamās ēkās</t>
  </si>
  <si>
    <t>Plāns,    kopējais finansējums (iesk.finanšu starpinst. līdzfin.)</t>
  </si>
  <si>
    <t>Kopā 3.PV un 4.PV</t>
  </si>
  <si>
    <r>
      <t xml:space="preserve">ES fonda (ERAF) finansējums atbilstoši apst. MK p/l, </t>
    </r>
    <r>
      <rPr>
        <i/>
        <sz val="11"/>
        <color theme="1"/>
        <rFont val="Calibri"/>
        <family val="2"/>
        <charset val="186"/>
        <scheme val="minor"/>
      </rPr>
      <t>euro</t>
    </r>
  </si>
  <si>
    <t xml:space="preserve"> ES fondu daļa (fakts)</t>
  </si>
  <si>
    <t>Investīcijas gala saņēmējos</t>
  </si>
  <si>
    <t>ES fondu daļa investīcijām gala saņēmējos</t>
  </si>
  <si>
    <t>Neizpilde/pārpilde inv. gala saņēmēj.</t>
  </si>
  <si>
    <t>Kopējais finansējums (iesk. f.starp. inst. līdzfin.), fakts</t>
  </si>
  <si>
    <t>Faktiskā izpilde līdz 2016.gada beigām</t>
  </si>
  <si>
    <t>Faktiskā izpilde līdz 2017.gada beigām</t>
  </si>
  <si>
    <t>Izpilde pret plānu, %</t>
  </si>
  <si>
    <t>Fakts</t>
  </si>
  <si>
    <t>Plāns</t>
  </si>
  <si>
    <t>Pasākums/Instruments</t>
  </si>
  <si>
    <t>3.1.1.4.Mikrokreditēšana un aizdevumi biznesa uzsācējiem</t>
  </si>
  <si>
    <r>
      <t>Vadības izmaksas</t>
    </r>
    <r>
      <rPr>
        <b/>
        <vertAlign val="superscript"/>
        <sz val="12"/>
        <color theme="1"/>
        <rFont val="Times New Roman"/>
        <family val="1"/>
        <charset val="186"/>
      </rPr>
      <t>4</t>
    </r>
  </si>
  <si>
    <t>Vadības izmaksas (ieskaitītas arī Altum izmaksas fondu fondam)</t>
  </si>
  <si>
    <t>Faktiskā izpilde līdz 2018.gada beigām</t>
  </si>
  <si>
    <t>FOF vadības izmaksas</t>
  </si>
  <si>
    <t>Faktiskā izpilde līdz 2019.gada beigām (kumulatīvi)</t>
  </si>
  <si>
    <r>
      <t>Kopējais finansējums (ieskaitot finanšu starpinst. līdzfin.)</t>
    </r>
    <r>
      <rPr>
        <vertAlign val="superscript"/>
        <sz val="12"/>
        <color theme="1"/>
        <rFont val="Times New Roman"/>
        <family val="1"/>
      </rPr>
      <t xml:space="preserve">1 </t>
    </r>
  </si>
  <si>
    <t>3.1.2.1. Riska kapitāls</t>
  </si>
  <si>
    <t>Faktiskā izpilde līdz 2020.gada beigām (kumulatīvi)</t>
  </si>
  <si>
    <t>Plāns investīcijām un vadības izmaksām,              ES fondu daļa</t>
  </si>
  <si>
    <t>25=21+24-23</t>
  </si>
  <si>
    <r>
      <rPr>
        <vertAlign val="superscript"/>
        <sz val="16"/>
        <color theme="1"/>
        <rFont val="Times New Roman"/>
        <family val="1"/>
        <charset val="186"/>
      </rPr>
      <t xml:space="preserve">1 </t>
    </r>
    <r>
      <rPr>
        <sz val="16"/>
        <color theme="1"/>
        <rFont val="Times New Roman"/>
        <family val="1"/>
        <charset val="186"/>
      </rPr>
      <t>Garantiju gadījumā kopējā finansējumā uzskaitīts kopējā aizdevuma summa.</t>
    </r>
  </si>
  <si>
    <t>Faktiskā izpilde līdz 2021.gada beigām (kumulatīvi)</t>
  </si>
  <si>
    <t>Faktiskā izpilde līdz 2022.gada beigām (kumulatīvi)</t>
  </si>
  <si>
    <t>13.1.1.2. "Atbalsts daudzdzīvokļu māju siltināšanai"</t>
  </si>
  <si>
    <t>Izpilde atsevišķi 2022.gadam</t>
  </si>
  <si>
    <t>3.1.1.7., 13.1.1.1 MVU aizdevumi un garantijas</t>
  </si>
  <si>
    <t>Sagatavots: 24.01.2024.</t>
  </si>
  <si>
    <t>2022.gada plāns un izpildes finanšu instrumentu investīcijām gala saņēmējos Kohēzijas politikas ES fondu 2014.-2020.gada plānošanas periodā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</si>
</sst>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name val="Times New Roman"/>
      <family val="2"/>
      <charset val="186"/>
    </font>
    <font>
      <sz val="14"/>
      <name val="Times New Roman"/>
      <family val="2"/>
      <charset val="186"/>
    </font>
    <font>
      <i/>
      <sz val="12"/>
      <name val="Times New Roman"/>
      <family val="1"/>
      <charset val="186"/>
    </font>
    <font>
      <b/>
      <sz val="12"/>
      <color rgb="FF000000"/>
      <name val="Times New Roman"/>
      <family val="2"/>
      <charset val="186"/>
    </font>
    <font>
      <b/>
      <sz val="14"/>
      <color rgb="FF000000"/>
      <name val="Times New Roman"/>
      <family val="2"/>
      <charset val="186"/>
    </font>
    <font>
      <sz val="14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sz val="12"/>
      <color theme="1"/>
      <name val="Times New Roman"/>
      <family val="2"/>
      <charset val="186"/>
    </font>
    <font>
      <b/>
      <sz val="16"/>
      <color rgb="FF000000"/>
      <name val="Times New Roman"/>
      <family val="1"/>
      <charset val="186"/>
    </font>
    <font>
      <b/>
      <sz val="12"/>
      <color rgb="FF000000"/>
      <name val="Times New Roman"/>
      <family val="2"/>
      <charset val="186"/>
    </font>
    <font>
      <sz val="12"/>
      <color rgb="FF000000"/>
      <name val="Times New Roman"/>
      <family val="2"/>
      <charset val="186"/>
    </font>
    <font>
      <b/>
      <sz val="12"/>
      <color rgb="FF000000"/>
      <name val="Times New Roman"/>
      <family val="1"/>
      <charset val="186"/>
    </font>
    <font>
      <b/>
      <sz val="14"/>
      <color rgb="FF000000"/>
      <name val="Times New Roman"/>
      <family val="2"/>
      <charset val="186"/>
    </font>
    <font>
      <b/>
      <sz val="14"/>
      <name val="Times New Roman"/>
      <family val="2"/>
      <charset val="186"/>
    </font>
    <font>
      <b/>
      <sz val="10"/>
      <color rgb="FF000000"/>
      <name val="Times New Roman"/>
      <family val="1"/>
      <charset val="186"/>
    </font>
    <font>
      <sz val="14"/>
      <name val="Times New Roman"/>
      <family val="2"/>
      <charset val="186"/>
    </font>
    <font>
      <i/>
      <sz val="14"/>
      <name val="Times New Roman"/>
      <family val="2"/>
      <charset val="186"/>
    </font>
    <font>
      <i/>
      <sz val="14"/>
      <color rgb="FFFF0000"/>
      <name val="Times New Roman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2"/>
      <charset val="186"/>
    </font>
    <font>
      <b/>
      <vertAlign val="superscript"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86"/>
    </font>
    <font>
      <sz val="12"/>
      <color theme="0"/>
      <name val="Times New Roman"/>
      <family val="2"/>
      <charset val="186"/>
    </font>
    <font>
      <sz val="10"/>
      <color rgb="FF000000"/>
      <name val="Arial"/>
      <family val="2"/>
      <charset val="186"/>
    </font>
    <font>
      <sz val="14"/>
      <color theme="0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6"/>
      <color theme="1"/>
      <name val="Times New Roman"/>
      <family val="1"/>
      <charset val="186"/>
    </font>
    <font>
      <b/>
      <sz val="12"/>
      <color theme="1"/>
      <name val="Times New Roman"/>
      <family val="2"/>
      <charset val="186"/>
    </font>
    <font>
      <b/>
      <sz val="10"/>
      <color theme="1"/>
      <name val="Times New Roman"/>
      <family val="2"/>
      <charset val="186"/>
    </font>
    <font>
      <b/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ADAD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32" fillId="0" borderId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5" fillId="0" borderId="0"/>
  </cellStyleXfs>
  <cellXfs count="92">
    <xf numFmtId="0" fontId="0" fillId="0" borderId="0" xfId="0"/>
    <xf numFmtId="0" fontId="5" fillId="0" borderId="0" xfId="0" applyFont="1"/>
    <xf numFmtId="0" fontId="6" fillId="4" borderId="2" xfId="3" applyFont="1" applyFill="1" applyBorder="1" applyAlignment="1" applyProtection="1">
      <alignment horizontal="left" vertical="center" wrapText="1"/>
      <protection locked="0"/>
    </xf>
    <xf numFmtId="3" fontId="6" fillId="4" borderId="2" xfId="1" applyNumberFormat="1" applyFont="1" applyFill="1" applyBorder="1" applyAlignment="1">
      <alignment horizontal="right" vertical="center"/>
    </xf>
    <xf numFmtId="165" fontId="5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1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top"/>
    </xf>
    <xf numFmtId="1" fontId="23" fillId="3" borderId="2" xfId="1" applyNumberFormat="1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/>
    </xf>
    <xf numFmtId="3" fontId="23" fillId="3" borderId="2" xfId="1" applyNumberFormat="1" applyFont="1" applyFill="1" applyBorder="1" applyAlignment="1">
      <alignment horizontal="right" vertical="center" wrapText="1"/>
    </xf>
    <xf numFmtId="1" fontId="18" fillId="0" borderId="0" xfId="0" applyNumberFormat="1" applyFont="1" applyAlignment="1">
      <alignment horizontal="center"/>
    </xf>
    <xf numFmtId="0" fontId="18" fillId="3" borderId="0" xfId="0" applyFont="1" applyFill="1"/>
    <xf numFmtId="0" fontId="26" fillId="4" borderId="2" xfId="3" applyFont="1" applyFill="1" applyBorder="1" applyAlignment="1" applyProtection="1">
      <alignment horizontal="left" vertical="center" wrapText="1"/>
      <protection locked="0"/>
    </xf>
    <xf numFmtId="3" fontId="26" fillId="4" borderId="2" xfId="1" applyNumberFormat="1" applyFont="1" applyFill="1" applyBorder="1" applyAlignment="1">
      <alignment horizontal="right" vertical="center"/>
    </xf>
    <xf numFmtId="165" fontId="26" fillId="4" borderId="2" xfId="1" applyNumberFormat="1" applyFont="1" applyFill="1" applyBorder="1" applyAlignment="1">
      <alignment horizontal="right" vertical="center"/>
    </xf>
    <xf numFmtId="0" fontId="18" fillId="4" borderId="0" xfId="0" applyFont="1" applyFill="1"/>
    <xf numFmtId="3" fontId="26" fillId="4" borderId="8" xfId="1" applyNumberFormat="1" applyFont="1" applyFill="1" applyBorder="1" applyAlignment="1">
      <alignment horizontal="right" vertical="center"/>
    </xf>
    <xf numFmtId="0" fontId="26" fillId="0" borderId="2" xfId="3" applyFont="1" applyBorder="1" applyAlignment="1" applyProtection="1">
      <alignment horizontal="left" vertical="center" wrapText="1"/>
      <protection locked="0"/>
    </xf>
    <xf numFmtId="3" fontId="26" fillId="0" borderId="2" xfId="1" applyNumberFormat="1" applyFont="1" applyFill="1" applyBorder="1" applyAlignment="1">
      <alignment horizontal="right" vertical="center"/>
    </xf>
    <xf numFmtId="164" fontId="24" fillId="3" borderId="2" xfId="1" applyNumberFormat="1" applyFont="1" applyFill="1" applyBorder="1" applyAlignment="1">
      <alignment horizontal="right" vertical="center" wrapText="1"/>
    </xf>
    <xf numFmtId="165" fontId="28" fillId="0" borderId="2" xfId="1" applyNumberFormat="1" applyFont="1" applyFill="1" applyBorder="1" applyAlignment="1">
      <alignment horizontal="right" vertical="center"/>
    </xf>
    <xf numFmtId="165" fontId="27" fillId="0" borderId="2" xfId="1" applyNumberFormat="1" applyFont="1" applyFill="1" applyBorder="1" applyAlignment="1">
      <alignment horizontal="right" vertical="center"/>
    </xf>
    <xf numFmtId="0" fontId="29" fillId="0" borderId="0" xfId="3" applyFont="1" applyAlignment="1" applyProtection="1">
      <alignment horizontal="left" vertical="center" wrapText="1"/>
      <protection locked="0"/>
    </xf>
    <xf numFmtId="3" fontId="29" fillId="0" borderId="0" xfId="1" applyNumberFormat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right" vertical="center"/>
    </xf>
    <xf numFmtId="164" fontId="23" fillId="3" borderId="2" xfId="1" applyNumberFormat="1" applyFont="1" applyFill="1" applyBorder="1" applyAlignment="1">
      <alignment horizontal="right" vertical="center" wrapText="1"/>
    </xf>
    <xf numFmtId="3" fontId="11" fillId="6" borderId="2" xfId="1" applyNumberFormat="1" applyFont="1" applyFill="1" applyBorder="1" applyAlignment="1">
      <alignment horizontal="center" vertical="center" wrapText="1"/>
    </xf>
    <xf numFmtId="164" fontId="12" fillId="6" borderId="2" xfId="1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22" fillId="2" borderId="2" xfId="1" applyNumberFormat="1" applyFont="1" applyFill="1" applyBorder="1" applyAlignment="1">
      <alignment horizontal="center" vertical="center" wrapText="1"/>
    </xf>
    <xf numFmtId="3" fontId="30" fillId="5" borderId="2" xfId="1" applyNumberFormat="1" applyFont="1" applyFill="1" applyBorder="1" applyAlignment="1">
      <alignment horizontal="left" vertical="center" wrapText="1"/>
    </xf>
    <xf numFmtId="3" fontId="30" fillId="5" borderId="2" xfId="1" applyNumberFormat="1" applyFont="1" applyFill="1" applyBorder="1" applyAlignment="1">
      <alignment horizontal="center" vertical="center" wrapText="1"/>
    </xf>
    <xf numFmtId="165" fontId="26" fillId="5" borderId="2" xfId="1" applyNumberFormat="1" applyFont="1" applyFill="1" applyBorder="1" applyAlignment="1">
      <alignment horizontal="right" vertical="center"/>
    </xf>
    <xf numFmtId="165" fontId="13" fillId="5" borderId="2" xfId="1" applyNumberFormat="1" applyFont="1" applyFill="1" applyBorder="1" applyAlignment="1">
      <alignment horizontal="right" vertical="center"/>
    </xf>
    <xf numFmtId="0" fontId="12" fillId="0" borderId="0" xfId="0" applyFont="1"/>
    <xf numFmtId="3" fontId="0" fillId="0" borderId="0" xfId="1" applyNumberFormat="1" applyFont="1" applyAlignment="1">
      <alignment horizontal="center" vertical="center"/>
    </xf>
    <xf numFmtId="164" fontId="23" fillId="3" borderId="2" xfId="1" applyNumberFormat="1" applyFont="1" applyFill="1" applyBorder="1" applyAlignment="1">
      <alignment vertical="center" wrapText="1"/>
    </xf>
    <xf numFmtId="0" fontId="34" fillId="0" borderId="0" xfId="0" applyFont="1"/>
    <xf numFmtId="3" fontId="23" fillId="7" borderId="2" xfId="1" applyNumberFormat="1" applyFont="1" applyFill="1" applyBorder="1" applyAlignment="1">
      <alignment horizontal="right" vertical="center" wrapText="1"/>
    </xf>
    <xf numFmtId="9" fontId="23" fillId="7" borderId="2" xfId="2" applyFont="1" applyFill="1" applyBorder="1" applyAlignment="1">
      <alignment horizontal="right" vertical="center" wrapText="1"/>
    </xf>
    <xf numFmtId="164" fontId="20" fillId="2" borderId="2" xfId="1" applyNumberFormat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 wrapText="1"/>
    </xf>
    <xf numFmtId="0" fontId="33" fillId="0" borderId="0" xfId="0" applyFont="1"/>
    <xf numFmtId="3" fontId="33" fillId="0" borderId="0" xfId="1" applyNumberFormat="1" applyFont="1" applyAlignment="1">
      <alignment horizontal="center" vertical="center"/>
    </xf>
    <xf numFmtId="164" fontId="33" fillId="6" borderId="2" xfId="1" applyNumberFormat="1" applyFont="1" applyFill="1" applyBorder="1" applyAlignment="1">
      <alignment horizontal="center" vertical="center" wrapText="1"/>
    </xf>
    <xf numFmtId="164" fontId="15" fillId="2" borderId="2" xfId="1" applyNumberFormat="1" applyFont="1" applyFill="1" applyBorder="1" applyAlignment="1">
      <alignment horizontal="center" vertical="center" wrapText="1"/>
    </xf>
    <xf numFmtId="3" fontId="13" fillId="5" borderId="2" xfId="1" applyNumberFormat="1" applyFont="1" applyFill="1" applyBorder="1" applyAlignment="1">
      <alignment horizontal="center" vertical="center" wrapText="1"/>
    </xf>
    <xf numFmtId="3" fontId="15" fillId="7" borderId="2" xfId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1" fontId="4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 wrapText="1"/>
    </xf>
    <xf numFmtId="9" fontId="39" fillId="0" borderId="0" xfId="2" applyFont="1" applyFill="1" applyBorder="1"/>
    <xf numFmtId="165" fontId="1" fillId="0" borderId="0" xfId="0" applyNumberFormat="1" applyFont="1"/>
    <xf numFmtId="3" fontId="39" fillId="0" borderId="0" xfId="2" applyNumberFormat="1" applyFont="1" applyFill="1" applyBorder="1"/>
    <xf numFmtId="164" fontId="14" fillId="2" borderId="2" xfId="1" applyNumberFormat="1" applyFont="1" applyFill="1" applyBorder="1" applyAlignment="1">
      <alignment horizontal="center" vertical="center" wrapText="1"/>
    </xf>
    <xf numFmtId="165" fontId="33" fillId="0" borderId="0" xfId="0" applyNumberFormat="1" applyFont="1"/>
    <xf numFmtId="1" fontId="9" fillId="3" borderId="2" xfId="1" applyNumberFormat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 applyAlignment="1">
      <alignment horizontal="right" vertical="center"/>
    </xf>
    <xf numFmtId="3" fontId="33" fillId="0" borderId="0" xfId="0" applyNumberFormat="1" applyFont="1"/>
    <xf numFmtId="3" fontId="11" fillId="6" borderId="9" xfId="1" applyNumberFormat="1" applyFont="1" applyFill="1" applyBorder="1" applyAlignment="1">
      <alignment horizontal="center" vertical="center" wrapText="1"/>
    </xf>
    <xf numFmtId="3" fontId="11" fillId="6" borderId="8" xfId="1" applyNumberFormat="1" applyFont="1" applyFill="1" applyBorder="1" applyAlignment="1">
      <alignment horizontal="center" vertical="center" wrapText="1"/>
    </xf>
    <xf numFmtId="3" fontId="41" fillId="2" borderId="2" xfId="1" applyNumberFormat="1" applyFont="1" applyFill="1" applyBorder="1" applyAlignment="1">
      <alignment horizontal="center" vertical="center" wrapText="1"/>
    </xf>
    <xf numFmtId="3" fontId="30" fillId="2" borderId="2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3" fontId="11" fillId="6" borderId="3" xfId="1" applyNumberFormat="1" applyFont="1" applyFill="1" applyBorder="1" applyAlignment="1">
      <alignment horizontal="center" vertical="center" wrapText="1"/>
    </xf>
    <xf numFmtId="3" fontId="11" fillId="6" borderId="4" xfId="1" applyNumberFormat="1" applyFont="1" applyFill="1" applyBorder="1" applyAlignment="1">
      <alignment horizontal="center" vertical="center" wrapText="1"/>
    </xf>
    <xf numFmtId="3" fontId="11" fillId="6" borderId="10" xfId="1" applyNumberFormat="1" applyFont="1" applyFill="1" applyBorder="1" applyAlignment="1">
      <alignment horizontal="center" vertical="center" wrapText="1"/>
    </xf>
    <xf numFmtId="3" fontId="11" fillId="6" borderId="11" xfId="1" applyNumberFormat="1" applyFont="1" applyFill="1" applyBorder="1" applyAlignment="1">
      <alignment horizontal="center" vertical="center" wrapText="1"/>
    </xf>
    <xf numFmtId="3" fontId="11" fillId="6" borderId="0" xfId="1" applyNumberFormat="1" applyFont="1" applyFill="1" applyBorder="1" applyAlignment="1">
      <alignment horizontal="center" vertical="center" wrapText="1"/>
    </xf>
    <xf numFmtId="3" fontId="11" fillId="6" borderId="5" xfId="1" applyNumberFormat="1" applyFont="1" applyFill="1" applyBorder="1" applyAlignment="1">
      <alignment horizontal="center" vertical="center" wrapText="1"/>
    </xf>
    <xf numFmtId="164" fontId="23" fillId="3" borderId="2" xfId="1" applyNumberFormat="1" applyFont="1" applyFill="1" applyBorder="1" applyAlignment="1">
      <alignment horizontal="left" vertical="center" wrapText="1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3" fontId="11" fillId="6" borderId="6" xfId="1" applyNumberFormat="1" applyFont="1" applyFill="1" applyBorder="1" applyAlignment="1">
      <alignment horizontal="center" vertical="center" wrapText="1"/>
    </xf>
    <xf numFmtId="3" fontId="11" fillId="6" borderId="1" xfId="1" applyNumberFormat="1" applyFont="1" applyFill="1" applyBorder="1" applyAlignment="1">
      <alignment horizontal="center" vertical="center" wrapText="1"/>
    </xf>
    <xf numFmtId="3" fontId="11" fillId="6" borderId="7" xfId="1" applyNumberFormat="1" applyFont="1" applyFill="1" applyBorder="1" applyAlignment="1">
      <alignment horizontal="center" vertical="center" wrapText="1"/>
    </xf>
    <xf numFmtId="164" fontId="9" fillId="3" borderId="9" xfId="1" applyNumberFormat="1" applyFont="1" applyFill="1" applyBorder="1" applyAlignment="1">
      <alignment vertical="center" wrapText="1"/>
    </xf>
    <xf numFmtId="164" fontId="9" fillId="3" borderId="8" xfId="1" applyNumberFormat="1" applyFont="1" applyFill="1" applyBorder="1" applyAlignment="1">
      <alignment vertical="center" wrapText="1"/>
    </xf>
    <xf numFmtId="164" fontId="23" fillId="3" borderId="9" xfId="1" applyNumberFormat="1" applyFont="1" applyFill="1" applyBorder="1" applyAlignment="1">
      <alignment vertical="center" wrapText="1"/>
    </xf>
    <xf numFmtId="164" fontId="23" fillId="3" borderId="8" xfId="1" applyNumberFormat="1" applyFont="1" applyFill="1" applyBorder="1" applyAlignment="1">
      <alignment vertical="center" wrapText="1"/>
    </xf>
    <xf numFmtId="164" fontId="9" fillId="3" borderId="2" xfId="1" applyNumberFormat="1" applyFont="1" applyFill="1" applyBorder="1" applyAlignment="1">
      <alignment horizontal="left" vertical="center" wrapText="1"/>
    </xf>
    <xf numFmtId="164" fontId="20" fillId="2" borderId="2" xfId="1" applyNumberFormat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19" xfId="5" xr:uid="{00000000-0005-0000-0000-000002000000}"/>
    <cellStyle name="Normal 2" xfId="4" xr:uid="{00000000-0005-0000-0000-000003000000}"/>
    <cellStyle name="Normal 2 2 11 2" xfId="6" xr:uid="{00000000-0005-0000-0000-000004000000}"/>
    <cellStyle name="Normal 2 4 7" xfId="3" xr:uid="{00000000-0005-0000-0000-000005000000}"/>
    <cellStyle name="Normal 3" xfId="8" xr:uid="{00000000-0005-0000-0000-000006000000}"/>
    <cellStyle name="Normal 3 2" xfId="10" xr:uid="{00000000-0005-0000-0000-000007000000}"/>
    <cellStyle name="Percent" xfId="2" builtinId="5"/>
    <cellStyle name="Percent 2" xfId="7" xr:uid="{00000000-0005-0000-0000-000009000000}"/>
    <cellStyle name="Percent 3" xfId="9" xr:uid="{00000000-0005-0000-0000-00000A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E4BC"/>
      <color rgb="FFC4D79B"/>
      <color rgb="FFF5ADAD"/>
      <color rgb="FFDD7183"/>
      <color rgb="FFDF93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31"/>
  <sheetViews>
    <sheetView tabSelected="1" zoomScale="70" zoomScaleNormal="7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A3" sqref="A3:A6"/>
    </sheetView>
  </sheetViews>
  <sheetFormatPr defaultColWidth="10" defaultRowHeight="15.75" outlineLevelCol="5" x14ac:dyDescent="0.25"/>
  <cols>
    <col min="1" max="1" width="11.42578125" style="6" customWidth="1"/>
    <col min="2" max="2" width="34.85546875" style="6" customWidth="1"/>
    <col min="3" max="3" width="18.28515625" style="7" customWidth="1"/>
    <col min="4" max="5" width="16.28515625" style="7" hidden="1" customWidth="1" outlineLevel="5"/>
    <col min="6" max="6" width="16.140625" style="7" hidden="1" customWidth="1" outlineLevel="5"/>
    <col min="7" max="7" width="16.28515625" style="7" hidden="1" customWidth="1" outlineLevel="4"/>
    <col min="8" max="8" width="17.7109375" style="6" hidden="1" customWidth="1" outlineLevel="4"/>
    <col min="9" max="9" width="27.28515625" style="6" hidden="1" customWidth="1" outlineLevel="4"/>
    <col min="10" max="10" width="15.42578125" style="6" hidden="1" customWidth="1" outlineLevel="3"/>
    <col min="11" max="11" width="27.140625" style="6" hidden="1" customWidth="1" outlineLevel="3" collapsed="1"/>
    <col min="12" max="12" width="27.140625" style="6" hidden="1" customWidth="1" outlineLevel="3"/>
    <col min="13" max="13" width="23.7109375" style="6" hidden="1" customWidth="1" outlineLevel="3"/>
    <col min="14" max="14" width="20.85546875" style="6" hidden="1" customWidth="1" outlineLevel="3"/>
    <col min="15" max="15" width="22.85546875" style="6" hidden="1" customWidth="1" outlineLevel="3"/>
    <col min="16" max="18" width="22.85546875" style="6" hidden="1" customWidth="1" outlineLevel="2"/>
    <col min="19" max="19" width="22.85546875" style="6" hidden="1" customWidth="1" outlineLevel="2" collapsed="1"/>
    <col min="20" max="21" width="22.85546875" style="6" hidden="1" customWidth="1" outlineLevel="2"/>
    <col min="22" max="22" width="22.85546875" style="6" customWidth="1" outlineLevel="1" collapsed="1"/>
    <col min="23" max="24" width="22.85546875" style="6" customWidth="1" outlineLevel="1"/>
    <col min="25" max="25" width="16.42578125" style="6" customWidth="1"/>
    <col min="26" max="26" width="14.42578125" style="6" customWidth="1"/>
    <col min="27" max="28" width="16.5703125" style="6" customWidth="1" outlineLevel="1"/>
    <col min="29" max="29" width="10.28515625" style="6" customWidth="1" outlineLevel="1"/>
    <col min="30" max="30" width="17.42578125" style="6" customWidth="1"/>
    <col min="31" max="32" width="17" style="6" hidden="1" customWidth="1" outlineLevel="1"/>
    <col min="33" max="33" width="15.42578125" style="6" bestFit="1" customWidth="1" collapsed="1"/>
    <col min="34" max="34" width="13" style="1" bestFit="1" customWidth="1"/>
    <col min="35" max="35" width="10" style="40"/>
    <col min="36" max="40" width="10" style="1"/>
    <col min="41" max="16384" width="10" style="6"/>
  </cols>
  <sheetData>
    <row r="1" spans="1:77" x14ac:dyDescent="0.25">
      <c r="A1" s="31" t="s">
        <v>41</v>
      </c>
      <c r="B1" s="5"/>
      <c r="AG1" s="1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</row>
    <row r="2" spans="1:77" ht="20.25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G2" s="1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</row>
    <row r="3" spans="1:77" s="8" customFormat="1" ht="15.75" customHeight="1" x14ac:dyDescent="0.25">
      <c r="A3" s="90" t="s">
        <v>0</v>
      </c>
      <c r="B3" s="72" t="s">
        <v>23</v>
      </c>
      <c r="C3" s="91" t="s">
        <v>12</v>
      </c>
      <c r="D3" s="73" t="s">
        <v>18</v>
      </c>
      <c r="E3" s="74"/>
      <c r="F3" s="75"/>
      <c r="G3" s="73" t="s">
        <v>19</v>
      </c>
      <c r="H3" s="74"/>
      <c r="I3" s="75"/>
      <c r="J3" s="73" t="s">
        <v>27</v>
      </c>
      <c r="K3" s="74"/>
      <c r="L3" s="75"/>
      <c r="M3" s="73" t="s">
        <v>29</v>
      </c>
      <c r="N3" s="74"/>
      <c r="O3" s="75"/>
      <c r="P3" s="73" t="s">
        <v>32</v>
      </c>
      <c r="Q3" s="74"/>
      <c r="R3" s="75"/>
      <c r="S3" s="73" t="s">
        <v>36</v>
      </c>
      <c r="T3" s="74"/>
      <c r="U3" s="75"/>
      <c r="V3" s="73" t="s">
        <v>37</v>
      </c>
      <c r="W3" s="74"/>
      <c r="X3" s="75"/>
      <c r="Y3" s="72" t="s">
        <v>39</v>
      </c>
      <c r="Z3" s="72"/>
      <c r="AA3" s="72"/>
      <c r="AB3" s="72"/>
      <c r="AC3" s="72"/>
      <c r="AD3" s="72"/>
      <c r="AE3" s="72"/>
      <c r="AF3" s="72"/>
      <c r="AG3" s="1"/>
      <c r="AH3" s="1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</row>
    <row r="4" spans="1:77" s="8" customFormat="1" ht="27.75" customHeight="1" x14ac:dyDescent="0.25">
      <c r="A4" s="90"/>
      <c r="B4" s="90"/>
      <c r="C4" s="91"/>
      <c r="D4" s="82"/>
      <c r="E4" s="83"/>
      <c r="F4" s="84"/>
      <c r="G4" s="82"/>
      <c r="H4" s="83"/>
      <c r="I4" s="84"/>
      <c r="J4" s="76"/>
      <c r="K4" s="77"/>
      <c r="L4" s="78"/>
      <c r="M4" s="76"/>
      <c r="N4" s="77"/>
      <c r="O4" s="78"/>
      <c r="P4" s="76"/>
      <c r="Q4" s="77"/>
      <c r="R4" s="78"/>
      <c r="S4" s="76"/>
      <c r="T4" s="77"/>
      <c r="U4" s="78"/>
      <c r="V4" s="76"/>
      <c r="W4" s="77"/>
      <c r="X4" s="78"/>
      <c r="Y4" s="72"/>
      <c r="Z4" s="72"/>
      <c r="AA4" s="72"/>
      <c r="AB4" s="72"/>
      <c r="AC4" s="72"/>
      <c r="AD4" s="72"/>
      <c r="AE4" s="72"/>
      <c r="AF4" s="72"/>
      <c r="AG4" s="1"/>
      <c r="AH4" s="1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</row>
    <row r="5" spans="1:77" s="8" customFormat="1" ht="55.5" customHeight="1" x14ac:dyDescent="0.25">
      <c r="A5" s="90"/>
      <c r="B5" s="90"/>
      <c r="C5" s="91"/>
      <c r="D5" s="68" t="s">
        <v>14</v>
      </c>
      <c r="E5" s="69"/>
      <c r="F5" s="29" t="s">
        <v>25</v>
      </c>
      <c r="G5" s="68" t="s">
        <v>14</v>
      </c>
      <c r="H5" s="69"/>
      <c r="I5" s="29" t="s">
        <v>26</v>
      </c>
      <c r="J5" s="68" t="s">
        <v>14</v>
      </c>
      <c r="K5" s="69"/>
      <c r="L5" s="29" t="s">
        <v>26</v>
      </c>
      <c r="M5" s="68" t="s">
        <v>14</v>
      </c>
      <c r="N5" s="69"/>
      <c r="O5" s="29" t="s">
        <v>26</v>
      </c>
      <c r="P5" s="68" t="s">
        <v>14</v>
      </c>
      <c r="Q5" s="69"/>
      <c r="R5" s="29" t="s">
        <v>26</v>
      </c>
      <c r="S5" s="68" t="s">
        <v>14</v>
      </c>
      <c r="T5" s="69"/>
      <c r="U5" s="29" t="s">
        <v>26</v>
      </c>
      <c r="V5" s="68" t="s">
        <v>14</v>
      </c>
      <c r="W5" s="69"/>
      <c r="X5" s="29" t="s">
        <v>26</v>
      </c>
      <c r="Y5" s="43" t="s">
        <v>26</v>
      </c>
      <c r="Z5" s="70" t="s">
        <v>14</v>
      </c>
      <c r="AA5" s="71"/>
      <c r="AB5" s="71"/>
      <c r="AC5" s="71"/>
      <c r="AD5" s="71"/>
      <c r="AE5" s="71"/>
      <c r="AF5" s="71"/>
      <c r="AG5" s="1"/>
      <c r="AH5" s="1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</row>
    <row r="6" spans="1:77" s="9" customFormat="1" ht="94.5" x14ac:dyDescent="0.25">
      <c r="A6" s="90"/>
      <c r="B6" s="90"/>
      <c r="C6" s="91"/>
      <c r="D6" s="30" t="s">
        <v>15</v>
      </c>
      <c r="E6" s="30" t="s">
        <v>2</v>
      </c>
      <c r="F6" s="30" t="s">
        <v>2</v>
      </c>
      <c r="G6" s="30" t="s">
        <v>15</v>
      </c>
      <c r="H6" s="30" t="s">
        <v>2</v>
      </c>
      <c r="I6" s="30" t="s">
        <v>2</v>
      </c>
      <c r="J6" s="30" t="s">
        <v>15</v>
      </c>
      <c r="K6" s="30" t="s">
        <v>2</v>
      </c>
      <c r="L6" s="30" t="s">
        <v>2</v>
      </c>
      <c r="M6" s="30" t="s">
        <v>15</v>
      </c>
      <c r="N6" s="30" t="s">
        <v>30</v>
      </c>
      <c r="O6" s="30" t="s">
        <v>2</v>
      </c>
      <c r="P6" s="30" t="s">
        <v>15</v>
      </c>
      <c r="Q6" s="30" t="s">
        <v>30</v>
      </c>
      <c r="R6" s="30" t="s">
        <v>2</v>
      </c>
      <c r="S6" s="30" t="s">
        <v>15</v>
      </c>
      <c r="T6" s="30" t="s">
        <v>30</v>
      </c>
      <c r="U6" s="30" t="s">
        <v>2</v>
      </c>
      <c r="V6" s="30" t="s">
        <v>15</v>
      </c>
      <c r="W6" s="30" t="s">
        <v>30</v>
      </c>
      <c r="X6" s="30" t="s">
        <v>2</v>
      </c>
      <c r="Y6" s="32" t="s">
        <v>1</v>
      </c>
      <c r="Z6" s="63" t="s">
        <v>33</v>
      </c>
      <c r="AA6" s="33" t="s">
        <v>13</v>
      </c>
      <c r="AB6" s="41" t="s">
        <v>16</v>
      </c>
      <c r="AC6" s="41" t="s">
        <v>20</v>
      </c>
      <c r="AD6" s="63" t="s">
        <v>10</v>
      </c>
      <c r="AE6" s="34" t="s">
        <v>17</v>
      </c>
      <c r="AF6" s="41" t="s">
        <v>16</v>
      </c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77" s="9" customFormat="1" ht="18.75" x14ac:dyDescent="0.25">
      <c r="A7" s="43"/>
      <c r="B7" s="43"/>
      <c r="C7" s="44"/>
      <c r="D7" s="30"/>
      <c r="E7" s="30"/>
      <c r="F7" s="30"/>
      <c r="G7" s="30"/>
      <c r="H7" s="30"/>
      <c r="I7" s="30"/>
      <c r="J7" s="47" t="s">
        <v>21</v>
      </c>
      <c r="K7" s="47" t="s">
        <v>21</v>
      </c>
      <c r="L7" s="47" t="s">
        <v>21</v>
      </c>
      <c r="M7" s="47" t="s">
        <v>21</v>
      </c>
      <c r="N7" s="47" t="s">
        <v>21</v>
      </c>
      <c r="O7" s="47" t="s">
        <v>21</v>
      </c>
      <c r="P7" s="47" t="s">
        <v>21</v>
      </c>
      <c r="Q7" s="47" t="s">
        <v>21</v>
      </c>
      <c r="R7" s="47" t="s">
        <v>21</v>
      </c>
      <c r="S7" s="47" t="s">
        <v>21</v>
      </c>
      <c r="T7" s="47" t="s">
        <v>21</v>
      </c>
      <c r="U7" s="47" t="s">
        <v>21</v>
      </c>
      <c r="V7" s="47" t="s">
        <v>21</v>
      </c>
      <c r="W7" s="47" t="s">
        <v>21</v>
      </c>
      <c r="X7" s="47" t="s">
        <v>21</v>
      </c>
      <c r="Y7" s="48"/>
      <c r="Z7" s="51" t="s">
        <v>22</v>
      </c>
      <c r="AA7" s="49" t="s">
        <v>21</v>
      </c>
      <c r="AB7" s="50"/>
      <c r="AC7" s="50"/>
      <c r="AD7" s="51" t="s">
        <v>22</v>
      </c>
      <c r="AE7" s="34" t="s">
        <v>21</v>
      </c>
      <c r="AF7" s="41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</row>
    <row r="8" spans="1:77" s="11" customFormat="1" ht="22.5" customHeight="1" x14ac:dyDescent="0.2">
      <c r="A8" s="10">
        <v>1</v>
      </c>
      <c r="B8" s="10">
        <v>2</v>
      </c>
      <c r="C8" s="10">
        <v>3</v>
      </c>
      <c r="D8" s="10">
        <v>6</v>
      </c>
      <c r="E8" s="10">
        <v>7</v>
      </c>
      <c r="F8" s="10">
        <v>8</v>
      </c>
      <c r="G8" s="10">
        <v>9</v>
      </c>
      <c r="H8" s="10">
        <v>10</v>
      </c>
      <c r="I8" s="10">
        <v>11</v>
      </c>
      <c r="J8" s="10">
        <v>12</v>
      </c>
      <c r="K8" s="10">
        <v>13</v>
      </c>
      <c r="L8" s="10">
        <v>14</v>
      </c>
      <c r="M8" s="10">
        <v>15</v>
      </c>
      <c r="N8" s="10">
        <v>16</v>
      </c>
      <c r="O8" s="10">
        <v>17</v>
      </c>
      <c r="P8" s="10">
        <v>18</v>
      </c>
      <c r="Q8" s="10">
        <v>19</v>
      </c>
      <c r="R8" s="10">
        <v>20</v>
      </c>
      <c r="S8" s="10"/>
      <c r="T8" s="10"/>
      <c r="U8" s="10"/>
      <c r="V8" s="10"/>
      <c r="W8" s="10"/>
      <c r="X8" s="10"/>
      <c r="Y8" s="10">
        <v>21</v>
      </c>
      <c r="Z8" s="10">
        <v>23</v>
      </c>
      <c r="AA8" s="10">
        <v>24</v>
      </c>
      <c r="AB8" s="65" t="s">
        <v>34</v>
      </c>
      <c r="AC8" s="10">
        <v>26</v>
      </c>
      <c r="AD8" s="10">
        <v>27</v>
      </c>
      <c r="AE8" s="10">
        <v>25</v>
      </c>
      <c r="AF8" s="10">
        <v>26</v>
      </c>
      <c r="AG8" s="59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77" s="13" customFormat="1" ht="18.75" customHeight="1" x14ac:dyDescent="0.25">
      <c r="A9" s="85" t="s">
        <v>11</v>
      </c>
      <c r="B9" s="86"/>
      <c r="C9" s="12">
        <f>C10+C19</f>
        <v>188281719</v>
      </c>
      <c r="D9" s="12">
        <v>2883197.4612492677</v>
      </c>
      <c r="E9" s="12">
        <v>13624080.629999999</v>
      </c>
      <c r="F9" s="12">
        <v>379061.64871280151</v>
      </c>
      <c r="G9" s="12">
        <v>10197875.919672687</v>
      </c>
      <c r="H9" s="12">
        <v>45533241.81079904</v>
      </c>
      <c r="I9" s="12">
        <v>2142103.7700000005</v>
      </c>
      <c r="J9" s="12">
        <v>19818556.270115994</v>
      </c>
      <c r="K9" s="12">
        <v>140444282.5645</v>
      </c>
      <c r="L9" s="12">
        <v>3440667.3400000003</v>
      </c>
      <c r="M9" s="12">
        <f t="shared" ref="M9:R9" si="0">M10+M19</f>
        <v>36517849.240000002</v>
      </c>
      <c r="N9" s="12">
        <f t="shared" si="0"/>
        <v>187258233.19</v>
      </c>
      <c r="O9" s="12">
        <f t="shared" si="0"/>
        <v>7199245.1400000006</v>
      </c>
      <c r="P9" s="12">
        <f t="shared" si="0"/>
        <v>47780753.75</v>
      </c>
      <c r="Q9" s="12">
        <f t="shared" si="0"/>
        <v>279797303.56</v>
      </c>
      <c r="R9" s="12">
        <f t="shared" si="0"/>
        <v>10008796.039999999</v>
      </c>
      <c r="S9" s="12"/>
      <c r="T9" s="12"/>
      <c r="U9" s="12"/>
      <c r="V9" s="12"/>
      <c r="W9" s="12"/>
      <c r="X9" s="12"/>
      <c r="Y9" s="12">
        <f>Y10+Y19</f>
        <v>2706476.92</v>
      </c>
      <c r="Z9" s="12">
        <f>Z10+Z19</f>
        <v>35383932.060000002</v>
      </c>
      <c r="AA9" s="36">
        <f>AA10+AA19</f>
        <v>41102597.129999995</v>
      </c>
      <c r="AB9" s="41">
        <f>AA9+Y9-Z9</f>
        <v>8425141.9899999946</v>
      </c>
      <c r="AC9" s="42">
        <f>(Y9+AA9)/Z9</f>
        <v>1.2381064370040504</v>
      </c>
      <c r="AD9" s="12">
        <f>AD10+AD19</f>
        <v>40544115.659999996</v>
      </c>
      <c r="AE9" s="36">
        <f>AE10+AE19</f>
        <v>51461665.75</v>
      </c>
      <c r="AF9" s="41">
        <f>AF10+AF19</f>
        <v>10917550.089999996</v>
      </c>
      <c r="AG9" s="60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pans="1:77" s="14" customFormat="1" ht="18.75" customHeight="1" x14ac:dyDescent="0.25">
      <c r="A10" s="87" t="s">
        <v>3</v>
      </c>
      <c r="B10" s="88"/>
      <c r="C10" s="12">
        <f t="shared" ref="C10:Y10" si="1">SUM(C11:C17)</f>
        <v>157059282</v>
      </c>
      <c r="D10" s="12">
        <f t="shared" si="1"/>
        <v>2883197.4612492677</v>
      </c>
      <c r="E10" s="12">
        <f t="shared" si="1"/>
        <v>13624080.629999999</v>
      </c>
      <c r="F10" s="12">
        <f t="shared" si="1"/>
        <v>322330.34871280153</v>
      </c>
      <c r="G10" s="12">
        <f t="shared" si="1"/>
        <v>9880537.4995566905</v>
      </c>
      <c r="H10" s="12">
        <f t="shared" si="1"/>
        <v>44982540.134599991</v>
      </c>
      <c r="I10" s="12">
        <f t="shared" si="1"/>
        <v>2016106.4400000004</v>
      </c>
      <c r="J10" s="12">
        <f t="shared" si="1"/>
        <v>18944180.189999998</v>
      </c>
      <c r="K10" s="12">
        <f t="shared" si="1"/>
        <v>121902485.52450001</v>
      </c>
      <c r="L10" s="12">
        <f t="shared" si="1"/>
        <v>4272590.37</v>
      </c>
      <c r="M10" s="12">
        <f t="shared" si="1"/>
        <v>32456654.210000001</v>
      </c>
      <c r="N10" s="12">
        <f t="shared" si="1"/>
        <v>180706955.59</v>
      </c>
      <c r="O10" s="12">
        <f t="shared" si="1"/>
        <v>6910099.9900000002</v>
      </c>
      <c r="P10" s="12">
        <f t="shared" si="1"/>
        <v>41959334.469999999</v>
      </c>
      <c r="Q10" s="12">
        <f t="shared" si="1"/>
        <v>230338671.85999998</v>
      </c>
      <c r="R10" s="12">
        <f t="shared" si="1"/>
        <v>9602732.2799999993</v>
      </c>
      <c r="S10" s="12">
        <f t="shared" si="1"/>
        <v>54434611.039999999</v>
      </c>
      <c r="T10" s="12">
        <f t="shared" si="1"/>
        <v>75268683.170000002</v>
      </c>
      <c r="U10" s="12">
        <f t="shared" si="1"/>
        <v>12829264.949999999</v>
      </c>
      <c r="V10" s="12">
        <f t="shared" si="1"/>
        <v>88974534.420000002</v>
      </c>
      <c r="W10" s="12">
        <f t="shared" si="1"/>
        <v>117399173.97999999</v>
      </c>
      <c r="X10" s="12">
        <f t="shared" si="1"/>
        <v>15149758.550000001</v>
      </c>
      <c r="Y10" s="12">
        <f t="shared" si="1"/>
        <v>2320493.5999999996</v>
      </c>
      <c r="Z10" s="12">
        <v>32300000</v>
      </c>
      <c r="AA10" s="36">
        <f>SUM(AA11:AA17)</f>
        <v>34539923.379999995</v>
      </c>
      <c r="AB10" s="41">
        <f>AA10+Y10-Z10</f>
        <v>4560416.9799999967</v>
      </c>
      <c r="AC10" s="42">
        <f>(Y10+AA10)/Z10</f>
        <v>1.1411893801857584</v>
      </c>
      <c r="AD10" s="12">
        <v>34563040.039999999</v>
      </c>
      <c r="AE10" s="36">
        <f>SUM(AE11:AE17)</f>
        <v>42130490.809999995</v>
      </c>
      <c r="AF10" s="41">
        <f>AE10-AD10</f>
        <v>7567450.7699999958</v>
      </c>
      <c r="AG10" s="60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77" s="18" customFormat="1" ht="18.75" x14ac:dyDescent="0.25">
      <c r="A11" s="15" t="s">
        <v>4</v>
      </c>
      <c r="B11" s="2" t="s">
        <v>5</v>
      </c>
      <c r="C11" s="17">
        <f>43800000</f>
        <v>43800000</v>
      </c>
      <c r="D11" s="17">
        <v>2582630.0212492677</v>
      </c>
      <c r="E11" s="17">
        <v>12371566.689999999</v>
      </c>
      <c r="F11" s="17">
        <v>79081.009999999966</v>
      </c>
      <c r="G11" s="17">
        <v>7651364.4127830109</v>
      </c>
      <c r="H11" s="17">
        <v>37157677.864599995</v>
      </c>
      <c r="I11" s="17">
        <v>428194.69000000047</v>
      </c>
      <c r="J11" s="17">
        <v>14053854.949999999</v>
      </c>
      <c r="K11" s="17">
        <v>107203526.9445</v>
      </c>
      <c r="L11" s="17">
        <v>842232.06</v>
      </c>
      <c r="M11" s="17">
        <v>20231795.780000001</v>
      </c>
      <c r="N11" s="17">
        <v>154957681.11000001</v>
      </c>
      <c r="O11" s="17">
        <v>1185029.48</v>
      </c>
      <c r="P11" s="17">
        <v>26034055.149999999</v>
      </c>
      <c r="Q11" s="17">
        <v>200357794.13</v>
      </c>
      <c r="R11" s="17">
        <v>1337837.1499999999</v>
      </c>
      <c r="S11" s="17">
        <v>31290978.609999999</v>
      </c>
      <c r="T11" s="17">
        <v>31290978.609999999</v>
      </c>
      <c r="U11" s="17">
        <v>2188392.59</v>
      </c>
      <c r="V11" s="17">
        <v>39273707.469999999</v>
      </c>
      <c r="W11" s="17">
        <v>39273707.469999999</v>
      </c>
      <c r="X11" s="17">
        <v>2422421.06</v>
      </c>
      <c r="Y11" s="17">
        <f>X11-U11</f>
        <v>234028.4700000002</v>
      </c>
      <c r="Z11" s="17"/>
      <c r="AA11" s="35">
        <f>V11-S11</f>
        <v>7982728.8599999994</v>
      </c>
      <c r="AB11" s="41"/>
      <c r="AC11" s="42"/>
      <c r="AD11" s="17"/>
      <c r="AE11" s="35">
        <f>W11-T11</f>
        <v>7982728.8599999994</v>
      </c>
      <c r="AF11" s="41"/>
      <c r="AG11" s="62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s="18" customFormat="1" ht="18.75" x14ac:dyDescent="0.25">
      <c r="A12" s="15" t="s">
        <v>4</v>
      </c>
      <c r="B12" s="2" t="s">
        <v>6</v>
      </c>
      <c r="C12" s="17">
        <v>7000000</v>
      </c>
      <c r="D12" s="17">
        <v>0</v>
      </c>
      <c r="E12" s="17">
        <v>0</v>
      </c>
      <c r="F12" s="17">
        <v>56603.948712801575</v>
      </c>
      <c r="G12" s="17">
        <v>925453.1817736798</v>
      </c>
      <c r="H12" s="17">
        <v>2393411.3000000003</v>
      </c>
      <c r="I12" s="17">
        <v>257392.82</v>
      </c>
      <c r="J12" s="17">
        <v>1135606.45</v>
      </c>
      <c r="K12" s="17">
        <f>J12+1801304.23</f>
        <v>2936910.6799999997</v>
      </c>
      <c r="L12" s="17">
        <v>362854.93</v>
      </c>
      <c r="M12" s="17">
        <v>2847609.22</v>
      </c>
      <c r="N12" s="17">
        <f>4201511.03+M12</f>
        <v>7049120.25</v>
      </c>
      <c r="O12" s="17">
        <v>587385.11</v>
      </c>
      <c r="P12" s="17">
        <v>3494080.09</v>
      </c>
      <c r="Q12" s="17">
        <f>P12+4600270.34</f>
        <v>8094350.4299999997</v>
      </c>
      <c r="R12" s="17">
        <v>595326.55000000005</v>
      </c>
      <c r="S12" s="17">
        <v>3831687.18</v>
      </c>
      <c r="T12" s="17">
        <f>4944219.14+3831687.18</f>
        <v>8775906.3200000003</v>
      </c>
      <c r="U12" s="17">
        <v>639046.12</v>
      </c>
      <c r="V12" s="17">
        <v>5137495</v>
      </c>
      <c r="W12" s="17">
        <f>5137495+5177655.38</f>
        <v>10315150.379999999</v>
      </c>
      <c r="X12" s="17">
        <v>671606.14</v>
      </c>
      <c r="Y12" s="17">
        <f t="shared" ref="Y12:Y16" si="2">X12-U12</f>
        <v>32560.020000000019</v>
      </c>
      <c r="Z12" s="17"/>
      <c r="AA12" s="35">
        <f t="shared" ref="AA12:AA16" si="3">V12-S12</f>
        <v>1305807.8199999998</v>
      </c>
      <c r="AB12" s="41"/>
      <c r="AC12" s="42"/>
      <c r="AD12" s="17"/>
      <c r="AE12" s="35">
        <f t="shared" ref="AE12:AE16" si="4">W12-T12</f>
        <v>1539244.0599999987</v>
      </c>
      <c r="AF12" s="41"/>
      <c r="AG12" s="62"/>
      <c r="AH12" s="6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</row>
    <row r="13" spans="1:77" s="18" customFormat="1" ht="37.5" x14ac:dyDescent="0.25">
      <c r="A13" s="15"/>
      <c r="B13" s="2" t="s">
        <v>24</v>
      </c>
      <c r="C13" s="17">
        <v>15000000</v>
      </c>
      <c r="D13" s="17">
        <v>300567.44</v>
      </c>
      <c r="E13" s="17">
        <v>1252513.94</v>
      </c>
      <c r="F13" s="17">
        <v>186645.38999999998</v>
      </c>
      <c r="G13" s="17">
        <v>1303719.9049999998</v>
      </c>
      <c r="H13" s="17">
        <v>5431450.9699999997</v>
      </c>
      <c r="I13" s="17">
        <v>693975.54</v>
      </c>
      <c r="J13" s="17">
        <f>308525.95+2257741.84</f>
        <v>2566267.79</v>
      </c>
      <c r="K13" s="17">
        <f>J13+1234105.49+6773223.62</f>
        <v>10573596.9</v>
      </c>
      <c r="L13" s="17">
        <f>147587.47+793205.13</f>
        <v>940792.6</v>
      </c>
      <c r="M13" s="17">
        <f>308525.95+2696267.13</f>
        <v>3004793.08</v>
      </c>
      <c r="N13" s="17">
        <f>1234105.49+M13+8088799.53</f>
        <v>12327698.100000001</v>
      </c>
      <c r="O13" s="17">
        <f>147287.92+891622.06</f>
        <v>1038909.9800000001</v>
      </c>
      <c r="P13" s="17">
        <f>308525.95+2740408.12</f>
        <v>3048934.0700000003</v>
      </c>
      <c r="Q13" s="17">
        <f>P13+1234105.49+8221222.58</f>
        <v>12504262.140000001</v>
      </c>
      <c r="R13" s="17">
        <f>146363.71+901558.31</f>
        <v>1047922.02</v>
      </c>
      <c r="S13" s="66">
        <f>507255.45+3465966.39</f>
        <v>3973221.8400000003</v>
      </c>
      <c r="T13" s="17">
        <f>1234105.49+507255.45+3465966.39+8221222.58</f>
        <v>13428549.91</v>
      </c>
      <c r="U13" s="17">
        <f>148418.21+910668.62</f>
        <v>1059086.83</v>
      </c>
      <c r="V13" s="17">
        <f>1242777.45+6708034.58</f>
        <v>7950812.0300000003</v>
      </c>
      <c r="W13" s="17">
        <f>1234105.49+1242777.45+8221222.58+6708034.58</f>
        <v>17406140.100000001</v>
      </c>
      <c r="X13" s="17">
        <f>154263.24+987983.78</f>
        <v>1142247.02</v>
      </c>
      <c r="Y13" s="17">
        <f t="shared" si="2"/>
        <v>83160.189999999944</v>
      </c>
      <c r="Z13" s="17"/>
      <c r="AA13" s="35">
        <f t="shared" si="3"/>
        <v>3977590.19</v>
      </c>
      <c r="AB13" s="41"/>
      <c r="AC13" s="42"/>
      <c r="AD13" s="17"/>
      <c r="AE13" s="35">
        <f t="shared" si="4"/>
        <v>3977590.1900000013</v>
      </c>
      <c r="AF13" s="41"/>
      <c r="AG13" s="62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18" customFormat="1" ht="18.75" x14ac:dyDescent="0.25">
      <c r="A14" s="15"/>
      <c r="B14" s="2" t="s">
        <v>31</v>
      </c>
      <c r="C14" s="16">
        <v>29200000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3">
        <v>636543.39</v>
      </c>
      <c r="J14" s="17">
        <v>749250</v>
      </c>
      <c r="K14" s="17">
        <f>J14</f>
        <v>749250</v>
      </c>
      <c r="L14" s="17">
        <v>323157.58</v>
      </c>
      <c r="M14" s="17">
        <v>4431456.28</v>
      </c>
      <c r="N14" s="17">
        <f>M14</f>
        <v>4431456.28</v>
      </c>
      <c r="O14" s="17">
        <v>971026.9</v>
      </c>
      <c r="P14" s="17">
        <v>6439265.3099999996</v>
      </c>
      <c r="Q14" s="17">
        <f>P14</f>
        <v>6439265.3099999996</v>
      </c>
      <c r="R14" s="17">
        <v>2152102.3199999998</v>
      </c>
      <c r="S14" s="17">
        <v>10647725.09</v>
      </c>
      <c r="T14" s="17">
        <f>5534939.64+10647725.09</f>
        <v>16182664.73</v>
      </c>
      <c r="U14" s="17">
        <v>3295654.82</v>
      </c>
      <c r="V14" s="17">
        <v>15612725.199999999</v>
      </c>
      <c r="W14" s="17">
        <f>9991939.45+15612725.2</f>
        <v>25604664.649999999</v>
      </c>
      <c r="X14" s="17">
        <v>4530585.2699999996</v>
      </c>
      <c r="Y14" s="17">
        <f t="shared" si="2"/>
        <v>1234930.4499999997</v>
      </c>
      <c r="Z14" s="16"/>
      <c r="AA14" s="35">
        <f t="shared" si="3"/>
        <v>4965000.1099999994</v>
      </c>
      <c r="AB14" s="41"/>
      <c r="AC14" s="42"/>
      <c r="AD14" s="16"/>
      <c r="AE14" s="35">
        <f t="shared" si="4"/>
        <v>9421999.9199999981</v>
      </c>
      <c r="AF14" s="41"/>
      <c r="AG14" s="62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s="18" customFormat="1" ht="37.5" x14ac:dyDescent="0.25">
      <c r="A15" s="15"/>
      <c r="B15" s="15" t="s">
        <v>7</v>
      </c>
      <c r="C15" s="17">
        <v>16000000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439201</v>
      </c>
      <c r="K15" s="17">
        <f>J15</f>
        <v>439201</v>
      </c>
      <c r="L15" s="17">
        <v>838769.89</v>
      </c>
      <c r="M15" s="17">
        <v>1940999.85</v>
      </c>
      <c r="N15" s="17">
        <f>M15</f>
        <v>1940999.85</v>
      </c>
      <c r="O15" s="17">
        <v>1892769.62</v>
      </c>
      <c r="P15" s="17">
        <v>2942999.85</v>
      </c>
      <c r="Q15" s="17">
        <f>P15</f>
        <v>2942999.85</v>
      </c>
      <c r="R15" s="17">
        <v>2882660.33</v>
      </c>
      <c r="S15" s="17">
        <v>4690998.32</v>
      </c>
      <c r="T15" s="17">
        <f>899585.28+4690998.32</f>
        <v>5590583.6000000006</v>
      </c>
      <c r="U15" s="17">
        <v>3642562.85</v>
      </c>
      <c r="V15" s="17">
        <v>6088797.8899999997</v>
      </c>
      <c r="W15" s="17">
        <f>3799716.66+6088797.89</f>
        <v>9888514.5500000007</v>
      </c>
      <c r="X15" s="17">
        <v>4115987.25</v>
      </c>
      <c r="Y15" s="17">
        <f t="shared" si="2"/>
        <v>473424.39999999991</v>
      </c>
      <c r="Z15" s="17"/>
      <c r="AA15" s="35">
        <f t="shared" si="3"/>
        <v>1397799.5699999994</v>
      </c>
      <c r="AB15" s="41"/>
      <c r="AC15" s="42"/>
      <c r="AD15" s="17"/>
      <c r="AE15" s="35">
        <f t="shared" si="4"/>
        <v>4297930.95</v>
      </c>
      <c r="AF15" s="41"/>
      <c r="AG15" s="62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s="18" customFormat="1" ht="37.5" x14ac:dyDescent="0.25">
      <c r="A16" s="15"/>
      <c r="B16" s="2" t="s">
        <v>40</v>
      </c>
      <c r="C16" s="17">
        <f>25000000+13600000+7459282</f>
        <v>46059282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14910996.83</v>
      </c>
      <c r="W16" s="17">
        <v>14910996.83</v>
      </c>
      <c r="X16" s="17">
        <v>0</v>
      </c>
      <c r="Y16" s="17">
        <f t="shared" si="2"/>
        <v>0</v>
      </c>
      <c r="Z16" s="17"/>
      <c r="AA16" s="35">
        <f t="shared" si="3"/>
        <v>14910996.83</v>
      </c>
      <c r="AB16" s="41"/>
      <c r="AC16" s="42"/>
      <c r="AD16" s="17"/>
      <c r="AE16" s="35">
        <f t="shared" si="4"/>
        <v>14910996.83</v>
      </c>
      <c r="AF16" s="41"/>
      <c r="AG16" s="62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s="18" customFormat="1" ht="18.75" x14ac:dyDescent="0.25">
      <c r="A17" s="89" t="s">
        <v>28</v>
      </c>
      <c r="B17" s="79"/>
      <c r="C17" s="12"/>
      <c r="D17" s="39"/>
      <c r="E17" s="39"/>
      <c r="F17" s="39"/>
      <c r="G17" s="39"/>
      <c r="H17" s="39"/>
      <c r="I17" s="28"/>
      <c r="J17" s="39"/>
      <c r="K17" s="39"/>
      <c r="L17" s="39">
        <v>964783.31</v>
      </c>
      <c r="M17" s="39"/>
      <c r="N17" s="39"/>
      <c r="O17" s="39">
        <v>1234978.8999999999</v>
      </c>
      <c r="P17" s="39"/>
      <c r="Q17" s="39"/>
      <c r="R17" s="39">
        <v>1586883.91</v>
      </c>
      <c r="S17" s="39"/>
      <c r="T17" s="39"/>
      <c r="U17" s="39">
        <v>2004521.74</v>
      </c>
      <c r="V17" s="39"/>
      <c r="W17" s="39"/>
      <c r="X17" s="39">
        <v>2266911.81</v>
      </c>
      <c r="Y17" s="22">
        <f>X17-U17</f>
        <v>262390.07000000007</v>
      </c>
      <c r="Z17" s="22"/>
      <c r="AA17" s="22"/>
      <c r="AB17" s="22"/>
      <c r="AC17" s="22"/>
      <c r="AD17" s="22"/>
      <c r="AE17" s="22"/>
      <c r="AF17" s="22"/>
      <c r="AG17" s="62"/>
      <c r="AH17" s="55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1:77" s="18" customFormat="1" ht="18.75" x14ac:dyDescent="0.25">
      <c r="A18" s="20"/>
      <c r="B18" s="20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  <c r="Z18" s="24"/>
      <c r="AA18" s="24"/>
      <c r="AB18" s="24"/>
      <c r="AC18" s="24"/>
      <c r="AD18" s="24"/>
      <c r="AE18" s="24"/>
      <c r="AF18" s="24"/>
      <c r="AG18" s="62"/>
      <c r="AH18" s="55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77" s="14" customFormat="1" ht="36" customHeight="1" x14ac:dyDescent="0.25">
      <c r="A19" s="79" t="s">
        <v>8</v>
      </c>
      <c r="B19" s="79"/>
      <c r="C19" s="12">
        <f>C20+C21</f>
        <v>31222437</v>
      </c>
      <c r="D19" s="12">
        <f t="shared" ref="D19:AE19" si="5">D20+D21</f>
        <v>0</v>
      </c>
      <c r="E19" s="12">
        <f t="shared" si="5"/>
        <v>0</v>
      </c>
      <c r="F19" s="12">
        <f t="shared" si="5"/>
        <v>56731.3</v>
      </c>
      <c r="G19" s="12">
        <f t="shared" si="5"/>
        <v>317338.42011599697</v>
      </c>
      <c r="H19" s="12">
        <f t="shared" si="5"/>
        <v>550701.67619905144</v>
      </c>
      <c r="I19" s="12">
        <f t="shared" si="5"/>
        <v>125997.32999999999</v>
      </c>
      <c r="J19" s="12">
        <f t="shared" si="5"/>
        <v>1857707.43</v>
      </c>
      <c r="K19" s="12">
        <f t="shared" si="5"/>
        <v>2602620.0299999998</v>
      </c>
      <c r="L19" s="12">
        <f t="shared" si="5"/>
        <v>170986.91</v>
      </c>
      <c r="M19" s="12">
        <f t="shared" si="5"/>
        <v>4061195.0300000003</v>
      </c>
      <c r="N19" s="12">
        <f t="shared" si="5"/>
        <v>6551277.6000000006</v>
      </c>
      <c r="O19" s="12">
        <f t="shared" si="5"/>
        <v>289145.15000000002</v>
      </c>
      <c r="P19" s="12">
        <f t="shared" si="5"/>
        <v>5821419.2800000003</v>
      </c>
      <c r="Q19" s="12">
        <f t="shared" si="5"/>
        <v>49458631.700000003</v>
      </c>
      <c r="R19" s="12">
        <f t="shared" si="5"/>
        <v>406063.75999999995</v>
      </c>
      <c r="S19" s="12">
        <f t="shared" si="5"/>
        <v>8700296.6699999999</v>
      </c>
      <c r="T19" s="12">
        <f t="shared" si="5"/>
        <v>18533075.59</v>
      </c>
      <c r="U19" s="12">
        <f t="shared" si="5"/>
        <v>622045.1399999999</v>
      </c>
      <c r="V19" s="12">
        <f t="shared" si="5"/>
        <v>15262970.42</v>
      </c>
      <c r="W19" s="12">
        <f t="shared" si="5"/>
        <v>27864250.530000001</v>
      </c>
      <c r="X19" s="12">
        <f t="shared" si="5"/>
        <v>1008028.46</v>
      </c>
      <c r="Y19" s="12">
        <f t="shared" si="5"/>
        <v>385983.32000000007</v>
      </c>
      <c r="Z19" s="12">
        <v>3083932.06</v>
      </c>
      <c r="AA19" s="12">
        <f t="shared" si="5"/>
        <v>6562673.75</v>
      </c>
      <c r="AB19" s="41">
        <f>AA19-Z19+Y19</f>
        <v>3864725.01</v>
      </c>
      <c r="AC19" s="42">
        <f>AA19/Z19</f>
        <v>2.1280215070626425</v>
      </c>
      <c r="AD19" s="12">
        <v>5981075.6200000001</v>
      </c>
      <c r="AE19" s="12">
        <f t="shared" si="5"/>
        <v>9331174.9400000013</v>
      </c>
      <c r="AF19" s="41">
        <f>AE19-AD19</f>
        <v>3350099.3200000012</v>
      </c>
      <c r="AG19" s="62"/>
      <c r="AH19" s="55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9"/>
      <c r="BV19" s="9"/>
      <c r="BW19" s="9"/>
      <c r="BX19" s="9"/>
      <c r="BY19" s="9"/>
    </row>
    <row r="20" spans="1:77" s="18" customFormat="1" ht="75" x14ac:dyDescent="0.25">
      <c r="A20" s="15"/>
      <c r="B20" s="2" t="s">
        <v>9</v>
      </c>
      <c r="C20" s="16">
        <v>18756414</v>
      </c>
      <c r="D20" s="19">
        <v>0</v>
      </c>
      <c r="E20" s="16">
        <v>0</v>
      </c>
      <c r="F20" s="16">
        <v>56731.3</v>
      </c>
      <c r="G20" s="16">
        <v>317338.42011599697</v>
      </c>
      <c r="H20" s="16">
        <v>550701.67619905144</v>
      </c>
      <c r="I20" s="16">
        <v>125997.32999999999</v>
      </c>
      <c r="J20" s="16">
        <f>149019.96+1708687.47</f>
        <v>1857707.43</v>
      </c>
      <c r="K20" s="16">
        <f>J20+26849.52+410362.18+307700.9</f>
        <v>2602620.0299999998</v>
      </c>
      <c r="L20" s="3">
        <f>144896.31+26090.6</f>
        <v>170986.91</v>
      </c>
      <c r="M20" s="16">
        <f>646024.66+3415170.37</f>
        <v>4061195.0300000003</v>
      </c>
      <c r="N20" s="16">
        <f>M20+114004.35+1773401.09+602677.13</f>
        <v>6551277.6000000006</v>
      </c>
      <c r="O20" s="3">
        <f>39867.15+7035.38+205906.22+36336.4</f>
        <v>289145.15000000002</v>
      </c>
      <c r="P20" s="3">
        <f>1567613.12+4253806.16</f>
        <v>5821419.2800000003</v>
      </c>
      <c r="Q20" s="3">
        <f>P20+276637.64+4303252.17+39057322.61</f>
        <v>49458631.700000003</v>
      </c>
      <c r="R20" s="3">
        <f>81778.65+14431.53+263375.54+46478.04</f>
        <v>406063.75999999995</v>
      </c>
      <c r="S20" s="3">
        <f>3022638.56+5677658.11</f>
        <v>8700296.6699999999</v>
      </c>
      <c r="T20" s="3">
        <f>533406.7+8297439.83+3022638.56+5677658.11+1001932.39</f>
        <v>18533075.59</v>
      </c>
      <c r="U20" s="3">
        <f>178891.42+31569.08+349846.94+61737.7</f>
        <v>622045.1399999999</v>
      </c>
      <c r="V20" s="3">
        <f>5320130.65+9942839.77</f>
        <v>15262970.42</v>
      </c>
      <c r="W20" s="3">
        <f>938846.36+9907814.97+5320130.65+9942839.77+1754618.78</f>
        <v>27864250.530000001</v>
      </c>
      <c r="X20" s="3">
        <f>252106.55+44489.41+604717.6+106714.9</f>
        <v>1008028.46</v>
      </c>
      <c r="Y20" s="16">
        <f>X20-U20</f>
        <v>385983.32000000007</v>
      </c>
      <c r="Z20" s="16"/>
      <c r="AA20" s="35">
        <f>V20-S20</f>
        <v>6562673.75</v>
      </c>
      <c r="AB20" s="41"/>
      <c r="AC20" s="42"/>
      <c r="AD20" s="16"/>
      <c r="AE20" s="35">
        <f>W20-T20</f>
        <v>9331174.9400000013</v>
      </c>
      <c r="AF20" s="41"/>
      <c r="AG20" s="62"/>
      <c r="AH20" s="5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11"/>
      <c r="BV20" s="11"/>
      <c r="BW20" s="11"/>
      <c r="BX20" s="11"/>
      <c r="BY20" s="11"/>
    </row>
    <row r="21" spans="1:77" s="18" customFormat="1" ht="56.25" x14ac:dyDescent="0.25">
      <c r="A21" s="15"/>
      <c r="B21" s="2" t="s">
        <v>38</v>
      </c>
      <c r="C21" s="16">
        <v>12466023</v>
      </c>
      <c r="D21" s="19"/>
      <c r="E21" s="16"/>
      <c r="F21" s="16"/>
      <c r="G21" s="16"/>
      <c r="H21" s="16"/>
      <c r="I21" s="16"/>
      <c r="J21" s="16"/>
      <c r="K21" s="16"/>
      <c r="L21" s="3"/>
      <c r="M21" s="16"/>
      <c r="N21" s="16"/>
      <c r="O21" s="3"/>
      <c r="P21" s="3"/>
      <c r="Q21" s="3"/>
      <c r="R21" s="3"/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16">
        <v>0</v>
      </c>
      <c r="Z21" s="16"/>
      <c r="AA21" s="35">
        <f>V21-S21</f>
        <v>0</v>
      </c>
      <c r="AB21" s="41"/>
      <c r="AC21" s="42"/>
      <c r="AD21" s="16"/>
      <c r="AE21" s="35">
        <f>W21-T21</f>
        <v>0</v>
      </c>
      <c r="AF21" s="41"/>
      <c r="AG21" s="62"/>
      <c r="AH21" s="55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1"/>
      <c r="BV21" s="11"/>
      <c r="BW21" s="11"/>
      <c r="BX21" s="11"/>
      <c r="BY21" s="11"/>
    </row>
    <row r="22" spans="1:77" x14ac:dyDescent="0.25">
      <c r="A22" s="25"/>
      <c r="B22" s="25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/>
      <c r="Z22" s="27"/>
      <c r="AA22" s="27"/>
      <c r="AB22" s="27"/>
      <c r="AC22" s="27"/>
      <c r="AD22" s="27"/>
      <c r="AE22" s="27"/>
      <c r="AF22" s="27"/>
      <c r="AG22" s="4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77" ht="24" x14ac:dyDescent="0.3">
      <c r="A23" s="53" t="s">
        <v>35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64"/>
      <c r="P23" s="45"/>
      <c r="Q23" s="45"/>
      <c r="R23" s="45"/>
      <c r="S23" s="45"/>
      <c r="T23" s="45"/>
      <c r="U23" s="45"/>
      <c r="V23" s="45"/>
      <c r="W23" s="45"/>
      <c r="X23" s="45"/>
      <c r="Y23" s="4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</row>
    <row r="24" spans="1:77" ht="20.25" x14ac:dyDescent="0.3">
      <c r="A24" s="53"/>
      <c r="O24" s="6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77" ht="20.25" x14ac:dyDescent="0.3">
      <c r="A25" s="53"/>
      <c r="B25" s="45"/>
      <c r="C25" s="4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4"/>
      <c r="P25" s="45"/>
      <c r="Q25" s="45"/>
      <c r="R25" s="45"/>
      <c r="S25" s="67"/>
      <c r="T25" s="45"/>
      <c r="U25" s="45"/>
      <c r="V25" s="45"/>
      <c r="W25" s="45"/>
      <c r="X25" s="45"/>
      <c r="Y25" s="4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77" ht="18.75" x14ac:dyDescent="0.3">
      <c r="A26" s="54"/>
      <c r="B26" s="45"/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4"/>
      <c r="P26" s="45"/>
      <c r="Q26" s="45"/>
      <c r="R26" s="45"/>
      <c r="S26" s="45"/>
      <c r="T26" s="45"/>
      <c r="U26" s="45"/>
      <c r="V26" s="45"/>
      <c r="W26" s="45"/>
      <c r="X26" s="45"/>
      <c r="Y26" s="4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77" ht="18.75" x14ac:dyDescent="0.3">
      <c r="B27" s="4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4"/>
      <c r="P27" s="45"/>
      <c r="Q27" s="45"/>
      <c r="R27" s="45"/>
      <c r="S27" s="45"/>
      <c r="T27" s="45"/>
      <c r="U27" s="45"/>
      <c r="V27" s="45"/>
      <c r="W27" s="45"/>
      <c r="X27" s="45"/>
      <c r="Y27" s="4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77" ht="18.75" x14ac:dyDescent="0.3">
      <c r="A28" s="52"/>
      <c r="B28" s="4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4"/>
      <c r="P28" s="45"/>
      <c r="Q28" s="45"/>
      <c r="R28" s="45"/>
      <c r="S28" s="45"/>
      <c r="T28" s="45"/>
      <c r="U28" s="45"/>
      <c r="V28" s="45"/>
      <c r="W28" s="45"/>
      <c r="X28" s="45"/>
      <c r="Y28" s="4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77" ht="18.75" x14ac:dyDescent="0.3">
      <c r="A29" s="37"/>
      <c r="B29"/>
      <c r="C29" s="38"/>
      <c r="D29"/>
      <c r="E29"/>
      <c r="F29"/>
      <c r="G29"/>
      <c r="H29"/>
      <c r="I29"/>
      <c r="J29"/>
      <c r="K29"/>
      <c r="L29"/>
      <c r="M29"/>
      <c r="N29"/>
      <c r="O29" s="64"/>
      <c r="P29"/>
      <c r="Q29"/>
      <c r="R29"/>
      <c r="S29"/>
      <c r="T29"/>
      <c r="U29"/>
      <c r="V29"/>
      <c r="W29"/>
      <c r="X29"/>
      <c r="Y29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77" ht="18.75" x14ac:dyDescent="0.3">
      <c r="O30" s="64"/>
    </row>
    <row r="31" spans="1:77" ht="18.75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</sheetData>
  <mergeCells count="25">
    <mergeCell ref="A19:B19"/>
    <mergeCell ref="A2:AD2"/>
    <mergeCell ref="A31:Y31"/>
    <mergeCell ref="D3:F4"/>
    <mergeCell ref="D5:E5"/>
    <mergeCell ref="G3:I4"/>
    <mergeCell ref="G5:H5"/>
    <mergeCell ref="A9:B9"/>
    <mergeCell ref="A10:B10"/>
    <mergeCell ref="A17:B17"/>
    <mergeCell ref="M3:O4"/>
    <mergeCell ref="A3:A6"/>
    <mergeCell ref="B3:B6"/>
    <mergeCell ref="C3:C6"/>
    <mergeCell ref="P3:R4"/>
    <mergeCell ref="J3:L4"/>
    <mergeCell ref="J5:K5"/>
    <mergeCell ref="M5:N5"/>
    <mergeCell ref="Z5:AF5"/>
    <mergeCell ref="Y3:AF4"/>
    <mergeCell ref="P5:Q5"/>
    <mergeCell ref="S3:U4"/>
    <mergeCell ref="S5:T5"/>
    <mergeCell ref="V3:X4"/>
    <mergeCell ref="V5:W5"/>
  </mergeCells>
  <conditionalFormatting sqref="AB6:AC7 AB9:AC16 AF9:AF16">
    <cfRule type="cellIs" dxfId="3" priority="9" operator="lessThan">
      <formula>0</formula>
    </cfRule>
  </conditionalFormatting>
  <conditionalFormatting sqref="AB19:AC21">
    <cfRule type="cellIs" dxfId="2" priority="1" operator="lessThan">
      <formula>0</formula>
    </cfRule>
  </conditionalFormatting>
  <conditionalFormatting sqref="AF6:AF7">
    <cfRule type="cellIs" dxfId="1" priority="7" operator="lessThan">
      <formula>0</formula>
    </cfRule>
  </conditionalFormatting>
  <conditionalFormatting sqref="AF19:AF21">
    <cfRule type="cellIs" dxfId="0" priority="48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4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merki_maksajumi_GS</vt:lpstr>
      <vt:lpstr>merki_maksajumi_GS!Print_Area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 Paņko</dc:creator>
  <cp:lastModifiedBy>Aigars Davidovičs</cp:lastModifiedBy>
  <cp:lastPrinted>2018-05-17T06:47:54Z</cp:lastPrinted>
  <dcterms:created xsi:type="dcterms:W3CDTF">2017-04-04T08:37:10Z</dcterms:created>
  <dcterms:modified xsi:type="dcterms:W3CDTF">2024-01-24T13:22:44Z</dcterms:modified>
</cp:coreProperties>
</file>