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S:\2014-2020\2014-2020_info_par_SAM\FI_horizontālie_dokumenti\14_Pārskati\Investīcijas gala saņēmējos_2023\"/>
    </mc:Choice>
  </mc:AlternateContent>
  <xr:revisionPtr revIDLastSave="0" documentId="13_ncr:1_{7973E54F-EF91-45D9-9527-8BAA6CA22A62}" xr6:coauthVersionLast="47" xr6:coauthVersionMax="47" xr10:uidLastSave="{00000000-0000-0000-0000-000000000000}"/>
  <bookViews>
    <workbookView xWindow="-120" yWindow="-120" windowWidth="29040" windowHeight="15840" xr2:uid="{00000000-000D-0000-FFFF-FFFF00000000}"/>
  </bookViews>
  <sheets>
    <sheet name="merki_maksajumi_GS" sheetId="1" r:id="rId1"/>
  </sheets>
  <definedNames>
    <definedName name="_xlnm.Print_Area" localSheetId="0">merki_maksajumi_GS!$A$1:$AI$28</definedName>
    <definedName name="proj.N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1" l="1"/>
  <c r="AH20" i="1" l="1"/>
  <c r="AH12" i="1"/>
  <c r="AH13" i="1"/>
  <c r="AH14" i="1"/>
  <c r="AH15" i="1"/>
  <c r="AH16" i="1"/>
  <c r="AH11" i="1"/>
  <c r="AD11" i="1"/>
  <c r="AB11" i="1"/>
  <c r="AB20" i="1"/>
  <c r="AD20" i="1"/>
  <c r="AB21" i="1"/>
  <c r="AD12" i="1"/>
  <c r="AD13" i="1"/>
  <c r="AD14" i="1"/>
  <c r="AD15" i="1"/>
  <c r="AD16" i="1"/>
  <c r="Z10" i="1"/>
  <c r="AB12" i="1"/>
  <c r="AB13" i="1"/>
  <c r="AB14" i="1"/>
  <c r="AB15" i="1"/>
  <c r="AB16" i="1"/>
  <c r="Z21" i="1"/>
  <c r="AH21" i="1" s="1"/>
  <c r="AA20" i="1"/>
  <c r="AA19" i="1" s="1"/>
  <c r="Z20" i="1"/>
  <c r="Y20" i="1"/>
  <c r="Z13" i="1"/>
  <c r="AA13" i="1"/>
  <c r="AA10" i="1" s="1"/>
  <c r="Y13" i="1"/>
  <c r="Y10" i="1" s="1"/>
  <c r="Z15" i="1"/>
  <c r="Z14" i="1"/>
  <c r="Z12" i="1"/>
  <c r="Z11" i="1"/>
  <c r="S9" i="1"/>
  <c r="T9" i="1"/>
  <c r="U9" i="1"/>
  <c r="V9" i="1"/>
  <c r="W9" i="1"/>
  <c r="X9" i="1"/>
  <c r="R9" i="1"/>
  <c r="AD21" i="1"/>
  <c r="Z19" i="1" l="1"/>
  <c r="Z9" i="1" s="1"/>
  <c r="Y19" i="1"/>
  <c r="Y9" i="1" s="1"/>
  <c r="AA9" i="1"/>
  <c r="D19" i="1"/>
  <c r="E19" i="1"/>
  <c r="F19" i="1"/>
  <c r="G19" i="1"/>
  <c r="H19" i="1"/>
  <c r="I19" i="1"/>
  <c r="S19" i="1"/>
  <c r="C19" i="1"/>
  <c r="D10" i="1"/>
  <c r="E10" i="1"/>
  <c r="F10" i="1"/>
  <c r="G10" i="1"/>
  <c r="H10" i="1"/>
  <c r="I10" i="1"/>
  <c r="U20" i="1"/>
  <c r="U19" i="1" s="1"/>
  <c r="T20" i="1"/>
  <c r="T19" i="1" s="1"/>
  <c r="S20" i="1"/>
  <c r="X20" i="1"/>
  <c r="W20" i="1"/>
  <c r="V20" i="1"/>
  <c r="T13" i="1"/>
  <c r="S13" i="1"/>
  <c r="S10" i="1" s="1"/>
  <c r="U13" i="1"/>
  <c r="U10" i="1" s="1"/>
  <c r="T15" i="1"/>
  <c r="T14" i="1"/>
  <c r="T12" i="1"/>
  <c r="W13" i="1"/>
  <c r="X13" i="1"/>
  <c r="V13" i="1"/>
  <c r="W15" i="1"/>
  <c r="W14" i="1"/>
  <c r="W12" i="1"/>
  <c r="R20" i="1"/>
  <c r="R19" i="1" s="1"/>
  <c r="P20" i="1"/>
  <c r="P19" i="1" s="1"/>
  <c r="Q15" i="1"/>
  <c r="Q14" i="1"/>
  <c r="R13" i="1"/>
  <c r="R10" i="1" s="1"/>
  <c r="P13" i="1"/>
  <c r="P10" i="1" s="1"/>
  <c r="Q12" i="1"/>
  <c r="V10" i="1" l="1"/>
  <c r="V19" i="1"/>
  <c r="W19" i="1"/>
  <c r="X19" i="1"/>
  <c r="X10" i="1"/>
  <c r="AB10" i="1"/>
  <c r="C10" i="1"/>
  <c r="W10" i="1"/>
  <c r="T10" i="1"/>
  <c r="Q13" i="1"/>
  <c r="Q10" i="1" s="1"/>
  <c r="P9" i="1"/>
  <c r="Q20" i="1"/>
  <c r="Q19" i="1" s="1"/>
  <c r="C9" i="1" l="1"/>
  <c r="Q9" i="1"/>
  <c r="L20" i="1"/>
  <c r="L19" i="1" s="1"/>
  <c r="J20" i="1"/>
  <c r="M20" i="1"/>
  <c r="M19" i="1" s="1"/>
  <c r="K15" i="1"/>
  <c r="K14" i="1"/>
  <c r="L13" i="1"/>
  <c r="L10" i="1" s="1"/>
  <c r="J13" i="1"/>
  <c r="K12" i="1"/>
  <c r="O20" i="1"/>
  <c r="O19" i="1" s="1"/>
  <c r="N15" i="1"/>
  <c r="N14" i="1"/>
  <c r="O13" i="1"/>
  <c r="O10" i="1" s="1"/>
  <c r="M13" i="1"/>
  <c r="N12" i="1"/>
  <c r="K20" i="1" l="1"/>
  <c r="K19" i="1" s="1"/>
  <c r="J19" i="1"/>
  <c r="K13" i="1"/>
  <c r="K10" i="1" s="1"/>
  <c r="J10" i="1"/>
  <c r="AB19" i="1"/>
  <c r="AD19" i="1"/>
  <c r="N13" i="1"/>
  <c r="AH10" i="1" s="1"/>
  <c r="AG10" i="1" s="1"/>
  <c r="AI10" i="1" s="1"/>
  <c r="N20" i="1"/>
  <c r="N19" i="1" s="1"/>
  <c r="AB9" i="1" l="1"/>
  <c r="AC19" i="1"/>
  <c r="AF19" i="1" s="1"/>
  <c r="AE19" i="1"/>
  <c r="O9" i="1"/>
  <c r="AH19" i="1"/>
  <c r="AG19" i="1" l="1"/>
  <c r="AI19" i="1" s="1"/>
  <c r="AI9" i="1" s="1"/>
  <c r="AD10" i="1"/>
  <c r="AC10" i="1" s="1"/>
  <c r="M10" i="1"/>
  <c r="M9" i="1" s="1"/>
  <c r="AD9" i="1" l="1"/>
  <c r="AE10" i="1"/>
  <c r="AF10" i="1"/>
  <c r="AH9" i="1"/>
  <c r="N10" i="1"/>
  <c r="N9" i="1" s="1"/>
  <c r="AC9" i="1" l="1"/>
  <c r="AE9" i="1" s="1"/>
  <c r="AG9" i="1"/>
  <c r="AF9" i="1" l="1"/>
</calcChain>
</file>

<file path=xl/sharedStrings.xml><?xml version="1.0" encoding="utf-8"?>
<sst xmlns="http://schemas.openxmlformats.org/spreadsheetml/2006/main" count="103" uniqueCount="46">
  <si>
    <t>Ieviesējinstitūcijas</t>
  </si>
  <si>
    <t>ES fondu daļa</t>
  </si>
  <si>
    <t>Kopējais finansējums (ieskaitot finanšu starpinst. līdzfin.)</t>
  </si>
  <si>
    <t xml:space="preserve">Kopā 3.PV: </t>
  </si>
  <si>
    <t>ALTUM</t>
  </si>
  <si>
    <t>3.1.1.1. Aizdevumu garantijas</t>
  </si>
  <si>
    <t>3.1.1.2. Mezanīna aizdevumi</t>
  </si>
  <si>
    <t>3.1.2.2. Tehnoloģiju akselerators</t>
  </si>
  <si>
    <t>Kopā 4.PV:</t>
  </si>
  <si>
    <t>4.2.1.1. Veicināt energoefektivitātes paaugstināšanu dzīvojamās ēkās</t>
  </si>
  <si>
    <t>Plāns,    kopējais finansējums (iesk.finanšu starpinst. līdzfin.)</t>
  </si>
  <si>
    <t>Kopā 3.PV un 4.PV</t>
  </si>
  <si>
    <t xml:space="preserve"> ES fondu daļa (fakts)</t>
  </si>
  <si>
    <t>Investīcijas gala saņēmējos</t>
  </si>
  <si>
    <t>ES fondu daļa investīcijām gala saņēmējos</t>
  </si>
  <si>
    <t>Neizpilde/pārpilde inv. gala saņēmēj.</t>
  </si>
  <si>
    <t>Kopējais finansējums (iesk. f.starp. inst. līdzfin.), fakts</t>
  </si>
  <si>
    <t>Faktiskā izpilde līdz 2016.gada beigām</t>
  </si>
  <si>
    <t>Faktiskā izpilde līdz 2017.gada beigām</t>
  </si>
  <si>
    <t>Izpilde pret plānu, %</t>
  </si>
  <si>
    <t>Fakts</t>
  </si>
  <si>
    <t>Plāns</t>
  </si>
  <si>
    <t>Pasākums/Instruments</t>
  </si>
  <si>
    <t>3.1.1.4.Mikrokreditēšana un aizdevumi biznesa uzsācējiem</t>
  </si>
  <si>
    <r>
      <t>Vadības izmaksas</t>
    </r>
    <r>
      <rPr>
        <b/>
        <vertAlign val="superscript"/>
        <sz val="12"/>
        <color theme="1"/>
        <rFont val="Times New Roman"/>
        <family val="1"/>
        <charset val="186"/>
      </rPr>
      <t>4</t>
    </r>
  </si>
  <si>
    <t>Vadības izmaksas (ieskaitītas arī Altum izmaksas fondu fondam)</t>
  </si>
  <si>
    <t>Faktiskā izpilde līdz 2018.gada beigām</t>
  </si>
  <si>
    <t>FOF vadības izmaksas</t>
  </si>
  <si>
    <t>Faktiskā izpilde līdz 2019.gada beigām (kumulatīvi)</t>
  </si>
  <si>
    <r>
      <t>Kopējais finansējums (ieskaitot finanšu starpinst. līdzfin.)</t>
    </r>
    <r>
      <rPr>
        <vertAlign val="superscript"/>
        <sz val="12"/>
        <color theme="1"/>
        <rFont val="Times New Roman"/>
        <family val="1"/>
      </rPr>
      <t xml:space="preserve">1 </t>
    </r>
  </si>
  <si>
    <t>3.1.2.1. Riska kapitāls</t>
  </si>
  <si>
    <t>Faktiskā izpilde līdz 2020.gada beigām (kumulatīvi)</t>
  </si>
  <si>
    <t>Plāns investīcijām un vadības izmaksām,              ES fondu daļa</t>
  </si>
  <si>
    <t>25=21+24-23</t>
  </si>
  <si>
    <t>Faktiskā izpilde līdz 2021.gada beigām (kumulatīvi)</t>
  </si>
  <si>
    <t>Faktiskā izpilde līdz 2022.gada beigām (kumulatīvi)</t>
  </si>
  <si>
    <t>13.1.1.2. "Atbalsts daudzdzīvokļu māju siltināšanai"</t>
  </si>
  <si>
    <t>3.1.1.7., 13.1.1.1 MVU aizdevumi un garantijas</t>
  </si>
  <si>
    <t>2022.gada plāns un izpildes finanšu instrumentu investīcijām gala saņēmējos Kohēzijas politikas ES fondu 2014.-2020.gada plānošanas periodā</t>
  </si>
  <si>
    <t>Faktiskā izpilde līdz 2023.gada beigām (kumulatīvi)</t>
  </si>
  <si>
    <t>Izpilde atsevišķi 2023.gadam</t>
  </si>
  <si>
    <r>
      <rPr>
        <vertAlign val="superscript"/>
        <sz val="16"/>
        <color theme="1"/>
        <rFont val="Times New Roman"/>
        <family val="1"/>
        <charset val="186"/>
      </rPr>
      <t xml:space="preserve">2 </t>
    </r>
    <r>
      <rPr>
        <sz val="16"/>
        <color theme="1"/>
        <rFont val="Times New Roman"/>
        <family val="1"/>
        <charset val="186"/>
      </rPr>
      <t>Garantiju gadījumā kopējā finansējumā uzskaitīts kopējā aizdevuma summa.</t>
    </r>
  </si>
  <si>
    <r>
      <rPr>
        <vertAlign val="superscript"/>
        <sz val="16"/>
        <color theme="1"/>
        <rFont val="Times New Roman"/>
        <family val="1"/>
        <charset val="186"/>
      </rPr>
      <t xml:space="preserve">1 </t>
    </r>
    <r>
      <rPr>
        <sz val="16"/>
        <color theme="1"/>
        <rFont val="Times New Roman"/>
        <family val="1"/>
        <charset val="186"/>
      </rPr>
      <t>3.1.1. pasākumos norādīts indikavatīvais finansējums ņemot vērā, ka iespējams to mainīt (palielināt vai samazināt), nepārsniedzot kopējo 3.1.1. specifiskajam atbalsta mērķim pieejamo ERAF finansējumu saskaņā ar Ministru kabineta 2016. gada 1. marta noteikumu Nr. 118 "Noteikumi par finanšu instrumentu un fondu fonda īstenošanas kārtību darbības programmas "Izaugsme un nodarbinātība" 3.1.1. specifiskā atbalsta mērķa "Sekmēt mazo un vidējo komersantu izveidi un attīstību, īpaši apstrādes rūpniecībā un RIS3 prioritārajās nozarēs" pasākumu, 3.1.2. specifiskā atbalsta mērķa "Palielināt straujas izaugsmes komersantu skaitu" pasākumu un 13.1.1. specifiskā atbalsta mērķa "Atveseļošanas pasākumi ekonomikas nozarē" 13.1.1.1. pasākuma "MVU izveide un attīstība"  ieviešanai" 3.1. apakšpunktu;</t>
    </r>
  </si>
  <si>
    <r>
      <t xml:space="preserve">ES fonda (ERAF) finansējums atbilstoši apst. MK p/l, </t>
    </r>
    <r>
      <rPr>
        <i/>
        <sz val="11"/>
        <color theme="1"/>
        <rFont val="Calibri"/>
        <family val="2"/>
        <charset val="186"/>
        <scheme val="minor"/>
      </rPr>
      <t>euro</t>
    </r>
    <r>
      <rPr>
        <vertAlign val="superscript"/>
        <sz val="12"/>
        <color rgb="FF000000"/>
        <rFont val="Times New Roman"/>
        <family val="1"/>
        <charset val="186"/>
      </rPr>
      <t>1</t>
    </r>
  </si>
  <si>
    <t>Sagatavots: 30.08.2024.</t>
  </si>
  <si>
    <r>
      <t>Kopējais finansējums (ieskaitot finanšu starpinst. līdzfin.)</t>
    </r>
    <r>
      <rPr>
        <vertAlign val="superscript"/>
        <sz val="12"/>
        <color theme="1"/>
        <rFont val="Times New Roman"/>
        <family val="1"/>
        <charset val="186"/>
      </rPr>
      <t xml:space="preserve">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</si>
</sst>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45" x14ac:knownFonts="1">
    <font>
      <sz val="11"/>
      <color theme="1"/>
      <name val="Calibri"/>
      <family val="2"/>
      <charset val="186"/>
      <scheme val="minor"/>
    </font>
    <font>
      <sz val="12"/>
      <color theme="1"/>
      <name val="Times New Roman"/>
      <family val="2"/>
      <charset val="186"/>
    </font>
    <font>
      <sz val="12"/>
      <color theme="1"/>
      <name val="Times New Roman"/>
      <family val="2"/>
      <charset val="186"/>
    </font>
    <font>
      <sz val="12"/>
      <color theme="1"/>
      <name val="Times New Roman"/>
      <family val="2"/>
      <charset val="186"/>
    </font>
    <font>
      <sz val="11"/>
      <color theme="1"/>
      <name val="Calibri"/>
      <family val="2"/>
      <charset val="186"/>
      <scheme val="minor"/>
    </font>
    <font>
      <sz val="12"/>
      <name val="Times New Roman"/>
      <family val="2"/>
      <charset val="186"/>
    </font>
    <font>
      <sz val="14"/>
      <name val="Times New Roman"/>
      <family val="2"/>
      <charset val="186"/>
    </font>
    <font>
      <i/>
      <sz val="12"/>
      <name val="Times New Roman"/>
      <family val="1"/>
      <charset val="186"/>
    </font>
    <font>
      <b/>
      <sz val="12"/>
      <color rgb="FF000000"/>
      <name val="Times New Roman"/>
      <family val="2"/>
      <charset val="186"/>
    </font>
    <font>
      <b/>
      <sz val="14"/>
      <color rgb="FF000000"/>
      <name val="Times New Roman"/>
      <family val="2"/>
      <charset val="186"/>
    </font>
    <font>
      <sz val="14"/>
      <name val="Times New Roman"/>
      <family val="1"/>
      <charset val="186"/>
    </font>
    <font>
      <b/>
      <sz val="12"/>
      <color theme="1"/>
      <name val="Times New Roman"/>
      <family val="1"/>
      <charset val="186"/>
    </font>
    <font>
      <sz val="12"/>
      <color theme="1"/>
      <name val="Times New Roman"/>
      <family val="1"/>
      <charset val="186"/>
    </font>
    <font>
      <b/>
      <sz val="14"/>
      <name val="Times New Roman"/>
      <family val="1"/>
      <charset val="186"/>
    </font>
    <font>
      <b/>
      <sz val="12"/>
      <name val="Times New Roman"/>
      <family val="1"/>
      <charset val="186"/>
    </font>
    <font>
      <b/>
      <sz val="14"/>
      <color rgb="FF000000"/>
      <name val="Times New Roman"/>
      <family val="1"/>
      <charset val="186"/>
    </font>
    <font>
      <i/>
      <sz val="11"/>
      <color theme="1"/>
      <name val="Calibri"/>
      <family val="2"/>
      <charset val="186"/>
      <scheme val="minor"/>
    </font>
    <font>
      <i/>
      <sz val="12"/>
      <name val="Times New Roman"/>
      <family val="1"/>
      <charset val="186"/>
    </font>
    <font>
      <sz val="12"/>
      <color theme="1"/>
      <name val="Times New Roman"/>
      <family val="2"/>
      <charset val="186"/>
    </font>
    <font>
      <b/>
      <sz val="16"/>
      <color rgb="FF000000"/>
      <name val="Times New Roman"/>
      <family val="1"/>
      <charset val="186"/>
    </font>
    <font>
      <b/>
      <sz val="12"/>
      <color rgb="FF000000"/>
      <name val="Times New Roman"/>
      <family val="2"/>
      <charset val="186"/>
    </font>
    <font>
      <sz val="12"/>
      <color rgb="FF000000"/>
      <name val="Times New Roman"/>
      <family val="2"/>
      <charset val="186"/>
    </font>
    <font>
      <b/>
      <sz val="12"/>
      <color rgb="FF000000"/>
      <name val="Times New Roman"/>
      <family val="1"/>
      <charset val="186"/>
    </font>
    <font>
      <b/>
      <sz val="14"/>
      <color rgb="FF000000"/>
      <name val="Times New Roman"/>
      <family val="2"/>
      <charset val="186"/>
    </font>
    <font>
      <b/>
      <sz val="14"/>
      <name val="Times New Roman"/>
      <family val="2"/>
      <charset val="186"/>
    </font>
    <font>
      <b/>
      <sz val="10"/>
      <color rgb="FF000000"/>
      <name val="Times New Roman"/>
      <family val="1"/>
      <charset val="186"/>
    </font>
    <font>
      <sz val="14"/>
      <name val="Times New Roman"/>
      <family val="2"/>
      <charset val="186"/>
    </font>
    <font>
      <i/>
      <sz val="14"/>
      <name val="Times New Roman"/>
      <family val="2"/>
      <charset val="186"/>
    </font>
    <font>
      <i/>
      <sz val="14"/>
      <color rgb="FFFF0000"/>
      <name val="Times New Roman"/>
      <family val="2"/>
      <charset val="186"/>
    </font>
    <font>
      <sz val="12"/>
      <name val="Times New Roman"/>
      <family val="1"/>
      <charset val="186"/>
    </font>
    <font>
      <b/>
      <sz val="12"/>
      <name val="Times New Roman"/>
      <family val="2"/>
      <charset val="186"/>
    </font>
    <font>
      <b/>
      <vertAlign val="superscript"/>
      <sz val="12"/>
      <color theme="1"/>
      <name val="Times New Roman"/>
      <family val="1"/>
      <charset val="186"/>
    </font>
    <font>
      <sz val="11"/>
      <color theme="1"/>
      <name val="Calibri"/>
      <family val="2"/>
      <scheme val="minor"/>
    </font>
    <font>
      <sz val="14"/>
      <color theme="1"/>
      <name val="Times New Roman"/>
      <family val="1"/>
      <charset val="186"/>
    </font>
    <font>
      <sz val="12"/>
      <color theme="0"/>
      <name val="Times New Roman"/>
      <family val="2"/>
      <charset val="186"/>
    </font>
    <font>
      <sz val="10"/>
      <color rgb="FF000000"/>
      <name val="Arial"/>
      <family val="2"/>
      <charset val="186"/>
    </font>
    <font>
      <sz val="14"/>
      <color theme="0"/>
      <name val="Times New Roman"/>
      <family val="1"/>
      <charset val="186"/>
    </font>
    <font>
      <sz val="16"/>
      <color theme="1"/>
      <name val="Times New Roman"/>
      <family val="1"/>
      <charset val="186"/>
    </font>
    <font>
      <vertAlign val="superscript"/>
      <sz val="16"/>
      <color theme="1"/>
      <name val="Times New Roman"/>
      <family val="1"/>
      <charset val="186"/>
    </font>
    <font>
      <b/>
      <sz val="12"/>
      <color theme="1"/>
      <name val="Times New Roman"/>
      <family val="2"/>
      <charset val="186"/>
    </font>
    <font>
      <b/>
      <sz val="10"/>
      <color theme="1"/>
      <name val="Times New Roman"/>
      <family val="2"/>
      <charset val="186"/>
    </font>
    <font>
      <b/>
      <sz val="12"/>
      <color rgb="FF000000"/>
      <name val="Times New Roman"/>
      <family val="1"/>
    </font>
    <font>
      <vertAlign val="superscript"/>
      <sz val="12"/>
      <color theme="1"/>
      <name val="Times New Roman"/>
      <family val="1"/>
    </font>
    <font>
      <vertAlign val="superscript"/>
      <sz val="12"/>
      <color rgb="FF000000"/>
      <name val="Times New Roman"/>
      <family val="1"/>
      <charset val="186"/>
    </font>
    <font>
      <vertAlign val="superscript"/>
      <sz val="12"/>
      <color theme="1"/>
      <name val="Times New Roman"/>
      <family val="1"/>
      <charset val="186"/>
    </font>
  </fonts>
  <fills count="8">
    <fill>
      <patternFill patternType="none"/>
    </fill>
    <fill>
      <patternFill patternType="gray125"/>
    </fill>
    <fill>
      <patternFill patternType="solid">
        <fgColor rgb="FFD8E4BC"/>
        <bgColor rgb="FF000000"/>
      </patternFill>
    </fill>
    <fill>
      <patternFill patternType="solid">
        <fgColor rgb="FFC4D79B"/>
        <bgColor rgb="FF000000"/>
      </patternFill>
    </fill>
    <fill>
      <patternFill patternType="solid">
        <fgColor rgb="FFEBF1DE"/>
        <bgColor rgb="FF000000"/>
      </patternFill>
    </fill>
    <fill>
      <patternFill patternType="solid">
        <fgColor theme="8" tint="0.79998168889431442"/>
        <bgColor rgb="FF000000"/>
      </patternFill>
    </fill>
    <fill>
      <patternFill patternType="solid">
        <fgColor theme="4" tint="0.59999389629810485"/>
        <bgColor indexed="64"/>
      </patternFill>
    </fill>
    <fill>
      <patternFill patternType="solid">
        <fgColor rgb="FFF5ADAD"/>
        <bgColor rgb="FF000000"/>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s>
  <cellStyleXfs count="11">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32" fillId="0" borderId="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5" fillId="0" borderId="0"/>
  </cellStyleXfs>
  <cellXfs count="94">
    <xf numFmtId="0" fontId="0" fillId="0" borderId="0" xfId="0"/>
    <xf numFmtId="0" fontId="5" fillId="0" borderId="0" xfId="0" applyFont="1"/>
    <xf numFmtId="0" fontId="6" fillId="4" borderId="2" xfId="3" applyFont="1" applyFill="1" applyBorder="1" applyAlignment="1" applyProtection="1">
      <alignment horizontal="left" vertical="center" wrapText="1"/>
      <protection locked="0"/>
    </xf>
    <xf numFmtId="3" fontId="6" fillId="4" borderId="2" xfId="1" applyNumberFormat="1" applyFont="1" applyFill="1" applyBorder="1" applyAlignment="1">
      <alignment horizontal="right" vertical="center"/>
    </xf>
    <xf numFmtId="165" fontId="5" fillId="0" borderId="0" xfId="0" applyNumberFormat="1" applyFont="1"/>
    <xf numFmtId="0" fontId="17" fillId="0" borderId="0" xfId="0" applyFont="1"/>
    <xf numFmtId="0" fontId="18" fillId="0" borderId="0" xfId="0" applyFont="1"/>
    <xf numFmtId="3" fontId="18" fillId="0" borderId="0" xfId="1" applyNumberFormat="1" applyFont="1" applyFill="1" applyBorder="1" applyAlignment="1">
      <alignment horizontal="center" vertical="center"/>
    </xf>
    <xf numFmtId="0" fontId="21" fillId="0" borderId="0" xfId="0" applyFont="1"/>
    <xf numFmtId="0" fontId="21" fillId="0" borderId="0" xfId="0" applyFont="1" applyAlignment="1">
      <alignment vertical="top"/>
    </xf>
    <xf numFmtId="1" fontId="23" fillId="3" borderId="2" xfId="1" applyNumberFormat="1" applyFont="1" applyFill="1" applyBorder="1" applyAlignment="1">
      <alignment horizontal="center" vertical="center" wrapText="1"/>
    </xf>
    <xf numFmtId="1" fontId="25" fillId="0" borderId="0" xfId="0" applyNumberFormat="1" applyFont="1" applyAlignment="1">
      <alignment horizontal="center"/>
    </xf>
    <xf numFmtId="3" fontId="23" fillId="3" borderId="2" xfId="1" applyNumberFormat="1" applyFont="1" applyFill="1" applyBorder="1" applyAlignment="1">
      <alignment horizontal="right" vertical="center" wrapText="1"/>
    </xf>
    <xf numFmtId="1" fontId="18" fillId="0" borderId="0" xfId="0" applyNumberFormat="1" applyFont="1" applyAlignment="1">
      <alignment horizontal="center"/>
    </xf>
    <xf numFmtId="0" fontId="18" fillId="3" borderId="0" xfId="0" applyFont="1" applyFill="1"/>
    <xf numFmtId="0" fontId="26" fillId="4" borderId="2" xfId="3" applyFont="1" applyFill="1" applyBorder="1" applyAlignment="1" applyProtection="1">
      <alignment horizontal="left" vertical="center" wrapText="1"/>
      <protection locked="0"/>
    </xf>
    <xf numFmtId="3" fontId="26" fillId="4" borderId="2" xfId="1" applyNumberFormat="1" applyFont="1" applyFill="1" applyBorder="1" applyAlignment="1">
      <alignment horizontal="right" vertical="center"/>
    </xf>
    <xf numFmtId="165" fontId="26" fillId="4" borderId="2" xfId="1" applyNumberFormat="1" applyFont="1" applyFill="1" applyBorder="1" applyAlignment="1">
      <alignment horizontal="right" vertical="center"/>
    </xf>
    <xf numFmtId="0" fontId="18" fillId="4" borderId="0" xfId="0" applyFont="1" applyFill="1"/>
    <xf numFmtId="3" fontId="26" fillId="4" borderId="8" xfId="1" applyNumberFormat="1" applyFont="1" applyFill="1" applyBorder="1" applyAlignment="1">
      <alignment horizontal="right" vertical="center"/>
    </xf>
    <xf numFmtId="0" fontId="26" fillId="0" borderId="2" xfId="3" applyFont="1" applyBorder="1" applyAlignment="1" applyProtection="1">
      <alignment horizontal="left" vertical="center" wrapText="1"/>
      <protection locked="0"/>
    </xf>
    <xf numFmtId="3" fontId="26" fillId="0" borderId="2" xfId="1" applyNumberFormat="1" applyFont="1" applyFill="1" applyBorder="1" applyAlignment="1">
      <alignment horizontal="right" vertical="center"/>
    </xf>
    <xf numFmtId="164" fontId="24" fillId="3"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xf>
    <xf numFmtId="165" fontId="27" fillId="0" borderId="2" xfId="1" applyNumberFormat="1" applyFont="1" applyFill="1" applyBorder="1" applyAlignment="1">
      <alignment horizontal="right" vertical="center"/>
    </xf>
    <xf numFmtId="0" fontId="29" fillId="0" borderId="0" xfId="3" applyFont="1" applyAlignment="1" applyProtection="1">
      <alignment horizontal="left" vertical="center" wrapText="1"/>
      <protection locked="0"/>
    </xf>
    <xf numFmtId="3" fontId="29" fillId="0" borderId="0" xfId="1" applyNumberFormat="1" applyFont="1" applyFill="1" applyBorder="1" applyAlignment="1">
      <alignment horizontal="center" vertical="center"/>
    </xf>
    <xf numFmtId="165" fontId="17" fillId="0" borderId="0" xfId="1" applyNumberFormat="1" applyFont="1" applyFill="1" applyBorder="1" applyAlignment="1">
      <alignment horizontal="right" vertical="center"/>
    </xf>
    <xf numFmtId="164" fontId="23" fillId="3" borderId="2" xfId="1" applyNumberFormat="1" applyFont="1" applyFill="1" applyBorder="1" applyAlignment="1">
      <alignment horizontal="right" vertical="center" wrapText="1"/>
    </xf>
    <xf numFmtId="3" fontId="11" fillId="6" borderId="2" xfId="1" applyNumberFormat="1" applyFont="1" applyFill="1" applyBorder="1" applyAlignment="1">
      <alignment horizontal="center" vertical="center" wrapText="1"/>
    </xf>
    <xf numFmtId="164" fontId="12" fillId="6" borderId="2" xfId="1" applyNumberFormat="1" applyFont="1" applyFill="1" applyBorder="1" applyAlignment="1">
      <alignment horizontal="center" vertical="center" wrapText="1"/>
    </xf>
    <xf numFmtId="0" fontId="7" fillId="0" borderId="0" xfId="0" applyFont="1"/>
    <xf numFmtId="164" fontId="22" fillId="2" borderId="2" xfId="1" applyNumberFormat="1" applyFont="1" applyFill="1" applyBorder="1" applyAlignment="1">
      <alignment horizontal="center" vertical="center" wrapText="1"/>
    </xf>
    <xf numFmtId="3" fontId="30" fillId="5" borderId="2" xfId="1" applyNumberFormat="1" applyFont="1" applyFill="1" applyBorder="1" applyAlignment="1">
      <alignment horizontal="left" vertical="center" wrapText="1"/>
    </xf>
    <xf numFmtId="3" fontId="30" fillId="5" borderId="2" xfId="1" applyNumberFormat="1" applyFont="1" applyFill="1" applyBorder="1" applyAlignment="1">
      <alignment horizontal="center" vertical="center" wrapText="1"/>
    </xf>
    <xf numFmtId="165" fontId="26" fillId="5" borderId="2" xfId="1" applyNumberFormat="1" applyFont="1" applyFill="1" applyBorder="1" applyAlignment="1">
      <alignment horizontal="right" vertical="center"/>
    </xf>
    <xf numFmtId="165" fontId="13" fillId="5" borderId="2" xfId="1" applyNumberFormat="1" applyFont="1" applyFill="1" applyBorder="1" applyAlignment="1">
      <alignment horizontal="right" vertical="center"/>
    </xf>
    <xf numFmtId="0" fontId="12" fillId="0" borderId="0" xfId="0" applyFont="1"/>
    <xf numFmtId="3" fontId="0" fillId="0" borderId="0" xfId="1" applyNumberFormat="1" applyFont="1" applyAlignment="1">
      <alignment horizontal="center" vertical="center"/>
    </xf>
    <xf numFmtId="164" fontId="23" fillId="3" borderId="2" xfId="1" applyNumberFormat="1" applyFont="1" applyFill="1" applyBorder="1" applyAlignment="1">
      <alignment vertical="center" wrapText="1"/>
    </xf>
    <xf numFmtId="0" fontId="34" fillId="0" borderId="0" xfId="0" applyFont="1"/>
    <xf numFmtId="3" fontId="23" fillId="7" borderId="2" xfId="1" applyNumberFormat="1" applyFont="1" applyFill="1" applyBorder="1" applyAlignment="1">
      <alignment horizontal="right" vertical="center" wrapText="1"/>
    </xf>
    <xf numFmtId="9" fontId="23" fillId="7" borderId="2" xfId="2" applyFont="1" applyFill="1" applyBorder="1" applyAlignment="1">
      <alignment horizontal="right" vertical="center" wrapText="1"/>
    </xf>
    <xf numFmtId="164" fontId="20" fillId="2" borderId="2" xfId="1" applyNumberFormat="1" applyFont="1" applyFill="1" applyBorder="1" applyAlignment="1">
      <alignment horizontal="center" vertical="center" wrapText="1"/>
    </xf>
    <xf numFmtId="3" fontId="20" fillId="2" borderId="2" xfId="1" applyNumberFormat="1" applyFont="1" applyFill="1" applyBorder="1" applyAlignment="1">
      <alignment horizontal="center" vertical="center" wrapText="1"/>
    </xf>
    <xf numFmtId="0" fontId="33" fillId="0" borderId="0" xfId="0" applyFont="1"/>
    <xf numFmtId="3" fontId="33" fillId="0" borderId="0" xfId="1" applyNumberFormat="1" applyFont="1" applyAlignment="1">
      <alignment horizontal="center" vertical="center"/>
    </xf>
    <xf numFmtId="164" fontId="33" fillId="6" borderId="2" xfId="1" applyNumberFormat="1" applyFont="1" applyFill="1" applyBorder="1" applyAlignment="1">
      <alignment horizontal="center" vertical="center" wrapText="1"/>
    </xf>
    <xf numFmtId="164" fontId="15" fillId="2" borderId="2" xfId="1" applyNumberFormat="1" applyFont="1" applyFill="1" applyBorder="1" applyAlignment="1">
      <alignment horizontal="center" vertical="center" wrapText="1"/>
    </xf>
    <xf numFmtId="3" fontId="13" fillId="5" borderId="2" xfId="1" applyNumberFormat="1" applyFont="1" applyFill="1" applyBorder="1" applyAlignment="1">
      <alignment horizontal="center" vertical="center" wrapText="1"/>
    </xf>
    <xf numFmtId="3" fontId="15" fillId="7" borderId="2" xfId="1" applyNumberFormat="1" applyFont="1" applyFill="1" applyBorder="1" applyAlignment="1">
      <alignment horizontal="center" vertical="center" wrapText="1"/>
    </xf>
    <xf numFmtId="164" fontId="13" fillId="2" borderId="2" xfId="1" applyNumberFormat="1" applyFont="1" applyFill="1" applyBorder="1" applyAlignment="1">
      <alignment horizontal="center" vertical="center" wrapText="1"/>
    </xf>
    <xf numFmtId="0" fontId="36" fillId="0" borderId="0" xfId="0" applyFont="1"/>
    <xf numFmtId="0" fontId="37" fillId="0" borderId="0" xfId="0" applyFont="1"/>
    <xf numFmtId="0" fontId="10" fillId="0" borderId="0" xfId="0" applyFont="1"/>
    <xf numFmtId="0" fontId="1" fillId="0" borderId="0" xfId="0" applyFont="1"/>
    <xf numFmtId="0" fontId="1" fillId="0" borderId="0" xfId="0" applyFont="1" applyAlignment="1">
      <alignment vertical="top"/>
    </xf>
    <xf numFmtId="1" fontId="40" fillId="0" borderId="0" xfId="0" applyNumberFormat="1" applyFont="1" applyAlignment="1">
      <alignment horizontal="center"/>
    </xf>
    <xf numFmtId="1" fontId="1" fillId="0" borderId="0" xfId="0" applyNumberFormat="1" applyFont="1" applyAlignment="1">
      <alignment horizontal="center"/>
    </xf>
    <xf numFmtId="1" fontId="40" fillId="0" borderId="0" xfId="0" applyNumberFormat="1" applyFont="1" applyAlignment="1">
      <alignment horizontal="center" wrapText="1"/>
    </xf>
    <xf numFmtId="9" fontId="39" fillId="0" borderId="0" xfId="2" applyFont="1" applyFill="1" applyBorder="1"/>
    <xf numFmtId="165" fontId="1" fillId="0" borderId="0" xfId="0" applyNumberFormat="1" applyFont="1"/>
    <xf numFmtId="3" fontId="39" fillId="0" borderId="0" xfId="2" applyNumberFormat="1" applyFont="1" applyFill="1" applyBorder="1"/>
    <xf numFmtId="164" fontId="14" fillId="2" borderId="2" xfId="1" applyNumberFormat="1" applyFont="1" applyFill="1" applyBorder="1" applyAlignment="1">
      <alignment horizontal="center" vertical="center" wrapText="1"/>
    </xf>
    <xf numFmtId="165" fontId="33" fillId="0" borderId="0" xfId="0" applyNumberFormat="1" applyFont="1"/>
    <xf numFmtId="1" fontId="9" fillId="3" borderId="2" xfId="1" applyNumberFormat="1" applyFont="1" applyFill="1" applyBorder="1" applyAlignment="1">
      <alignment horizontal="center" vertical="center" wrapText="1"/>
    </xf>
    <xf numFmtId="165" fontId="6" fillId="4" borderId="2" xfId="1" applyNumberFormat="1" applyFont="1" applyFill="1" applyBorder="1" applyAlignment="1">
      <alignment horizontal="right" vertical="center"/>
    </xf>
    <xf numFmtId="3" fontId="33" fillId="0" borderId="0" xfId="0" applyNumberFormat="1" applyFont="1"/>
    <xf numFmtId="0" fontId="37" fillId="0" borderId="0" xfId="0" applyFont="1" applyAlignment="1">
      <alignment wrapText="1"/>
    </xf>
    <xf numFmtId="164" fontId="23" fillId="3" borderId="2" xfId="1" applyNumberFormat="1" applyFont="1" applyFill="1" applyBorder="1" applyAlignment="1">
      <alignment horizontal="left" vertical="center" wrapText="1"/>
    </xf>
    <xf numFmtId="49" fontId="19" fillId="0" borderId="0" xfId="0" applyNumberFormat="1" applyFont="1" applyAlignment="1" applyProtection="1">
      <alignment horizontal="center" vertical="center"/>
      <protection locked="0"/>
    </xf>
    <xf numFmtId="0" fontId="10" fillId="0" borderId="0" xfId="0" applyFont="1" applyAlignment="1">
      <alignment horizontal="left" vertical="center"/>
    </xf>
    <xf numFmtId="3" fontId="11" fillId="6" borderId="3" xfId="1" applyNumberFormat="1" applyFont="1" applyFill="1" applyBorder="1" applyAlignment="1">
      <alignment horizontal="center" vertical="center" wrapText="1"/>
    </xf>
    <xf numFmtId="3" fontId="11" fillId="6" borderId="4" xfId="1" applyNumberFormat="1" applyFont="1" applyFill="1" applyBorder="1" applyAlignment="1">
      <alignment horizontal="center" vertical="center" wrapText="1"/>
    </xf>
    <xf numFmtId="3" fontId="11" fillId="6" borderId="10" xfId="1" applyNumberFormat="1" applyFont="1" applyFill="1" applyBorder="1" applyAlignment="1">
      <alignment horizontal="center" vertical="center" wrapText="1"/>
    </xf>
    <xf numFmtId="3" fontId="11" fillId="6" borderId="6" xfId="1" applyNumberFormat="1" applyFont="1" applyFill="1" applyBorder="1" applyAlignment="1">
      <alignment horizontal="center" vertical="center" wrapText="1"/>
    </xf>
    <xf numFmtId="3" fontId="11" fillId="6" borderId="1" xfId="1" applyNumberFormat="1" applyFont="1" applyFill="1" applyBorder="1" applyAlignment="1">
      <alignment horizontal="center" vertical="center" wrapText="1"/>
    </xf>
    <xf numFmtId="3" fontId="11" fillId="6" borderId="7" xfId="1" applyNumberFormat="1" applyFont="1" applyFill="1" applyBorder="1" applyAlignment="1">
      <alignment horizontal="center" vertical="center" wrapText="1"/>
    </xf>
    <xf numFmtId="3" fontId="11" fillId="6" borderId="9" xfId="1" applyNumberFormat="1" applyFont="1" applyFill="1" applyBorder="1" applyAlignment="1">
      <alignment horizontal="center" vertical="center" wrapText="1"/>
    </xf>
    <xf numFmtId="3" fontId="11" fillId="6" borderId="8" xfId="1" applyNumberFormat="1" applyFont="1" applyFill="1" applyBorder="1" applyAlignment="1">
      <alignment horizontal="center" vertical="center" wrapText="1"/>
    </xf>
    <xf numFmtId="164" fontId="9" fillId="3" borderId="9" xfId="1" applyNumberFormat="1" applyFont="1" applyFill="1" applyBorder="1" applyAlignment="1">
      <alignment vertical="center" wrapText="1"/>
    </xf>
    <xf numFmtId="164" fontId="9" fillId="3" borderId="8" xfId="1" applyNumberFormat="1" applyFont="1" applyFill="1" applyBorder="1" applyAlignment="1">
      <alignment vertical="center" wrapText="1"/>
    </xf>
    <xf numFmtId="164" fontId="23" fillId="3" borderId="9" xfId="1" applyNumberFormat="1" applyFont="1" applyFill="1" applyBorder="1" applyAlignment="1">
      <alignment vertical="center" wrapText="1"/>
    </xf>
    <xf numFmtId="164" fontId="23" fillId="3" borderId="8" xfId="1" applyNumberFormat="1" applyFont="1" applyFill="1" applyBorder="1" applyAlignment="1">
      <alignment vertical="center" wrapText="1"/>
    </xf>
    <xf numFmtId="164" fontId="9" fillId="3" borderId="2" xfId="1" applyNumberFormat="1" applyFont="1" applyFill="1" applyBorder="1" applyAlignment="1">
      <alignment horizontal="left" vertical="center" wrapText="1"/>
    </xf>
    <xf numFmtId="3" fontId="11" fillId="6" borderId="11" xfId="1" applyNumberFormat="1" applyFont="1" applyFill="1" applyBorder="1" applyAlignment="1">
      <alignment horizontal="center" vertical="center" wrapText="1"/>
    </xf>
    <xf numFmtId="3" fontId="11" fillId="6" borderId="0" xfId="1" applyNumberFormat="1" applyFont="1" applyFill="1" applyBorder="1" applyAlignment="1">
      <alignment horizontal="center" vertical="center" wrapText="1"/>
    </xf>
    <xf numFmtId="3" fontId="11" fillId="6" borderId="5" xfId="1" applyNumberFormat="1" applyFont="1" applyFill="1" applyBorder="1" applyAlignment="1">
      <alignment horizontal="center" vertical="center" wrapText="1"/>
    </xf>
    <xf numFmtId="164" fontId="20" fillId="2" borderId="2"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3" fontId="8" fillId="2" borderId="2" xfId="1" applyNumberFormat="1" applyFont="1" applyFill="1" applyBorder="1" applyAlignment="1">
      <alignment horizontal="center" vertical="center" wrapText="1"/>
    </xf>
    <xf numFmtId="3" fontId="20" fillId="2" borderId="2" xfId="1" applyNumberFormat="1" applyFont="1" applyFill="1" applyBorder="1" applyAlignment="1">
      <alignment horizontal="center" vertical="center" wrapText="1"/>
    </xf>
    <xf numFmtId="3" fontId="41" fillId="2" borderId="2" xfId="1" applyNumberFormat="1" applyFont="1" applyFill="1" applyBorder="1" applyAlignment="1">
      <alignment horizontal="center" vertical="center" wrapText="1"/>
    </xf>
    <xf numFmtId="3" fontId="30" fillId="2" borderId="2" xfId="1" applyNumberFormat="1" applyFont="1" applyFill="1" applyBorder="1" applyAlignment="1">
      <alignment horizontal="center" vertical="center" wrapText="1"/>
    </xf>
  </cellXfs>
  <cellStyles count="11">
    <cellStyle name="Comma" xfId="1" builtinId="3"/>
    <cellStyle name="Normal" xfId="0" builtinId="0"/>
    <cellStyle name="Normal 19" xfId="5" xr:uid="{00000000-0005-0000-0000-000002000000}"/>
    <cellStyle name="Normal 2" xfId="4" xr:uid="{00000000-0005-0000-0000-000003000000}"/>
    <cellStyle name="Normal 2 2 11 2" xfId="6" xr:uid="{00000000-0005-0000-0000-000004000000}"/>
    <cellStyle name="Normal 2 4 7" xfId="3" xr:uid="{00000000-0005-0000-0000-000005000000}"/>
    <cellStyle name="Normal 3" xfId="8" xr:uid="{00000000-0005-0000-0000-000006000000}"/>
    <cellStyle name="Normal 3 2" xfId="10" xr:uid="{00000000-0005-0000-0000-000007000000}"/>
    <cellStyle name="Percent" xfId="2" builtinId="5"/>
    <cellStyle name="Percent 2" xfId="7" xr:uid="{00000000-0005-0000-0000-000009000000}"/>
    <cellStyle name="Percent 3" xfId="9" xr:uid="{00000000-0005-0000-0000-00000A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E4BC"/>
      <color rgb="FFC4D79B"/>
      <color rgb="FFF5ADAD"/>
      <color rgb="FFDD7183"/>
      <color rgb="FFDF93B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31"/>
  <sheetViews>
    <sheetView tabSelected="1" zoomScale="70" zoomScaleNormal="70" workbookViewId="0">
      <pane xSplit="2" ySplit="8" topLeftCell="C9" activePane="bottomRight" state="frozen"/>
      <selection pane="topRight" activeCell="D1" sqref="D1"/>
      <selection pane="bottomLeft" activeCell="A9" sqref="A9"/>
      <selection pane="bottomRight" activeCell="AK9" sqref="AK9"/>
    </sheetView>
  </sheetViews>
  <sheetFormatPr defaultColWidth="10" defaultRowHeight="15.75" outlineLevelCol="6" x14ac:dyDescent="0.25"/>
  <cols>
    <col min="1" max="1" width="11.42578125" style="6" customWidth="1"/>
    <col min="2" max="2" width="34.85546875" style="6" customWidth="1"/>
    <col min="3" max="3" width="18.28515625" style="7" customWidth="1"/>
    <col min="4" max="5" width="16.28515625" style="7" hidden="1" customWidth="1" outlineLevel="6"/>
    <col min="6" max="6" width="16.140625" style="7" hidden="1" customWidth="1" outlineLevel="6"/>
    <col min="7" max="7" width="16.28515625" style="7" hidden="1" customWidth="1" outlineLevel="5"/>
    <col min="8" max="8" width="17.7109375" style="6" hidden="1" customWidth="1" outlineLevel="5"/>
    <col min="9" max="9" width="27.28515625" style="6" hidden="1" customWidth="1" outlineLevel="5"/>
    <col min="10" max="10" width="15.42578125" style="6" hidden="1" customWidth="1" outlineLevel="4"/>
    <col min="11" max="11" width="27.140625" style="6" hidden="1" customWidth="1" outlineLevel="4" collapsed="1"/>
    <col min="12" max="12" width="27.140625" style="6" hidden="1" customWidth="1" outlineLevel="4"/>
    <col min="13" max="13" width="23.7109375" style="6" hidden="1" customWidth="1" outlineLevel="4"/>
    <col min="14" max="14" width="20.85546875" style="6" hidden="1" customWidth="1" outlineLevel="4"/>
    <col min="15" max="15" width="22.85546875" style="6" hidden="1" customWidth="1" outlineLevel="4"/>
    <col min="16" max="18" width="22.85546875" style="6" hidden="1" customWidth="1" outlineLevel="3"/>
    <col min="19" max="19" width="22.85546875" style="6" hidden="1" customWidth="1" outlineLevel="3" collapsed="1"/>
    <col min="20" max="21" width="22.85546875" style="6" hidden="1" customWidth="1" outlineLevel="3"/>
    <col min="22" max="24" width="22.85546875" style="6" hidden="1" customWidth="1" outlineLevel="2"/>
    <col min="25" max="25" width="22.85546875" style="6" customWidth="1" outlineLevel="1" collapsed="1"/>
    <col min="26" max="27" width="22.85546875" style="6" customWidth="1" outlineLevel="1"/>
    <col min="28" max="28" width="16.42578125" style="6" customWidth="1"/>
    <col min="29" max="29" width="14.42578125" style="6" customWidth="1"/>
    <col min="30" max="31" width="16.5703125" style="6" hidden="1" customWidth="1" outlineLevel="1"/>
    <col min="32" max="32" width="10.28515625" style="6" hidden="1" customWidth="1" outlineLevel="1"/>
    <col min="33" max="33" width="17.42578125" style="6" customWidth="1" collapsed="1"/>
    <col min="34" max="35" width="17" style="6" hidden="1" customWidth="1" outlineLevel="1"/>
    <col min="36" max="36" width="15.42578125" style="6" bestFit="1" customWidth="1" collapsed="1"/>
    <col min="37" max="37" width="13" style="1" bestFit="1" customWidth="1"/>
    <col min="38" max="38" width="10" style="40"/>
    <col min="39" max="43" width="10" style="1"/>
    <col min="44" max="16384" width="10" style="6"/>
  </cols>
  <sheetData>
    <row r="1" spans="1:80" x14ac:dyDescent="0.25">
      <c r="A1" s="31" t="s">
        <v>44</v>
      </c>
      <c r="B1" s="5"/>
      <c r="AJ1" s="1"/>
      <c r="AL1" s="55"/>
      <c r="AM1" s="55"/>
      <c r="AN1" s="55"/>
      <c r="AO1" s="55"/>
      <c r="AP1" s="55"/>
      <c r="AQ1" s="55"/>
      <c r="AR1" s="55"/>
      <c r="AS1" s="55"/>
      <c r="AT1" s="55"/>
      <c r="AU1" s="55"/>
      <c r="AV1" s="55"/>
      <c r="AW1" s="55"/>
      <c r="AX1" s="55"/>
      <c r="AY1" s="55"/>
      <c r="AZ1" s="55"/>
      <c r="BA1" s="55"/>
      <c r="BB1" s="55"/>
      <c r="BC1" s="55"/>
    </row>
    <row r="2" spans="1:80" ht="20.25" x14ac:dyDescent="0.25">
      <c r="A2" s="70" t="s">
        <v>38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J2" s="1"/>
      <c r="AL2" s="55"/>
      <c r="AM2" s="55"/>
      <c r="AN2" s="55"/>
      <c r="AO2" s="55"/>
      <c r="AP2" s="55"/>
      <c r="AQ2" s="55"/>
      <c r="AR2" s="55"/>
      <c r="AS2" s="55"/>
      <c r="AT2" s="55"/>
      <c r="AU2" s="55"/>
      <c r="AV2" s="55"/>
      <c r="AW2" s="55"/>
      <c r="AX2" s="55"/>
      <c r="AY2" s="55"/>
      <c r="AZ2" s="55"/>
      <c r="BA2" s="55"/>
      <c r="BB2" s="55"/>
      <c r="BC2" s="55"/>
    </row>
    <row r="3" spans="1:80" s="8" customFormat="1" ht="15.75" customHeight="1" x14ac:dyDescent="0.25">
      <c r="A3" s="88" t="s">
        <v>0</v>
      </c>
      <c r="B3" s="89" t="s">
        <v>22</v>
      </c>
      <c r="C3" s="90" t="s">
        <v>43</v>
      </c>
      <c r="D3" s="72" t="s">
        <v>17</v>
      </c>
      <c r="E3" s="73"/>
      <c r="F3" s="74"/>
      <c r="G3" s="72" t="s">
        <v>18</v>
      </c>
      <c r="H3" s="73"/>
      <c r="I3" s="74"/>
      <c r="J3" s="72" t="s">
        <v>26</v>
      </c>
      <c r="K3" s="73"/>
      <c r="L3" s="74"/>
      <c r="M3" s="72" t="s">
        <v>28</v>
      </c>
      <c r="N3" s="73"/>
      <c r="O3" s="74"/>
      <c r="P3" s="72" t="s">
        <v>31</v>
      </c>
      <c r="Q3" s="73"/>
      <c r="R3" s="74"/>
      <c r="S3" s="72" t="s">
        <v>34</v>
      </c>
      <c r="T3" s="73"/>
      <c r="U3" s="74"/>
      <c r="V3" s="72" t="s">
        <v>35</v>
      </c>
      <c r="W3" s="73"/>
      <c r="X3" s="74"/>
      <c r="Y3" s="72" t="s">
        <v>39</v>
      </c>
      <c r="Z3" s="73"/>
      <c r="AA3" s="74"/>
      <c r="AB3" s="89" t="s">
        <v>40</v>
      </c>
      <c r="AC3" s="89"/>
      <c r="AD3" s="89"/>
      <c r="AE3" s="89"/>
      <c r="AF3" s="89"/>
      <c r="AG3" s="89"/>
      <c r="AH3" s="89"/>
      <c r="AI3" s="89"/>
      <c r="AJ3" s="1"/>
      <c r="AK3" s="1"/>
      <c r="AL3" s="55"/>
      <c r="AM3" s="55"/>
      <c r="AN3" s="55"/>
      <c r="AO3" s="55"/>
      <c r="AP3" s="55"/>
      <c r="AQ3" s="55"/>
      <c r="AR3" s="55"/>
      <c r="AS3" s="55"/>
      <c r="AT3" s="55"/>
      <c r="AU3" s="55"/>
      <c r="AV3" s="55"/>
      <c r="AW3" s="55"/>
      <c r="AX3" s="55"/>
      <c r="AY3" s="55"/>
      <c r="AZ3" s="55"/>
      <c r="BA3" s="55"/>
      <c r="BB3" s="55"/>
      <c r="BC3" s="55"/>
    </row>
    <row r="4" spans="1:80" s="8" customFormat="1" ht="27.75" customHeight="1" x14ac:dyDescent="0.25">
      <c r="A4" s="88"/>
      <c r="B4" s="88"/>
      <c r="C4" s="91"/>
      <c r="D4" s="75"/>
      <c r="E4" s="76"/>
      <c r="F4" s="77"/>
      <c r="G4" s="75"/>
      <c r="H4" s="76"/>
      <c r="I4" s="77"/>
      <c r="J4" s="85"/>
      <c r="K4" s="86"/>
      <c r="L4" s="87"/>
      <c r="M4" s="85"/>
      <c r="N4" s="86"/>
      <c r="O4" s="87"/>
      <c r="P4" s="85"/>
      <c r="Q4" s="86"/>
      <c r="R4" s="87"/>
      <c r="S4" s="85"/>
      <c r="T4" s="86"/>
      <c r="U4" s="87"/>
      <c r="V4" s="85"/>
      <c r="W4" s="86"/>
      <c r="X4" s="87"/>
      <c r="Y4" s="85"/>
      <c r="Z4" s="86"/>
      <c r="AA4" s="87"/>
      <c r="AB4" s="89"/>
      <c r="AC4" s="89"/>
      <c r="AD4" s="89"/>
      <c r="AE4" s="89"/>
      <c r="AF4" s="89"/>
      <c r="AG4" s="89"/>
      <c r="AH4" s="89"/>
      <c r="AI4" s="89"/>
      <c r="AJ4" s="1"/>
      <c r="AK4" s="1"/>
      <c r="AL4" s="55"/>
      <c r="AM4" s="55"/>
      <c r="AN4" s="55"/>
      <c r="AO4" s="55"/>
      <c r="AP4" s="55"/>
      <c r="AQ4" s="55"/>
      <c r="AR4" s="55"/>
      <c r="AS4" s="55"/>
      <c r="AT4" s="55"/>
      <c r="AU4" s="55"/>
      <c r="AV4" s="55"/>
      <c r="AW4" s="55"/>
      <c r="AX4" s="55"/>
      <c r="AY4" s="55"/>
      <c r="AZ4" s="55"/>
      <c r="BA4" s="55"/>
      <c r="BB4" s="55"/>
      <c r="BC4" s="55"/>
    </row>
    <row r="5" spans="1:80" s="8" customFormat="1" ht="55.5" customHeight="1" x14ac:dyDescent="0.25">
      <c r="A5" s="88"/>
      <c r="B5" s="88"/>
      <c r="C5" s="91"/>
      <c r="D5" s="78" t="s">
        <v>13</v>
      </c>
      <c r="E5" s="79"/>
      <c r="F5" s="29" t="s">
        <v>24</v>
      </c>
      <c r="G5" s="78" t="s">
        <v>13</v>
      </c>
      <c r="H5" s="79"/>
      <c r="I5" s="29" t="s">
        <v>25</v>
      </c>
      <c r="J5" s="78" t="s">
        <v>13</v>
      </c>
      <c r="K5" s="79"/>
      <c r="L5" s="29" t="s">
        <v>25</v>
      </c>
      <c r="M5" s="78" t="s">
        <v>13</v>
      </c>
      <c r="N5" s="79"/>
      <c r="O5" s="29" t="s">
        <v>25</v>
      </c>
      <c r="P5" s="78" t="s">
        <v>13</v>
      </c>
      <c r="Q5" s="79"/>
      <c r="R5" s="29" t="s">
        <v>25</v>
      </c>
      <c r="S5" s="78" t="s">
        <v>13</v>
      </c>
      <c r="T5" s="79"/>
      <c r="U5" s="29" t="s">
        <v>25</v>
      </c>
      <c r="V5" s="78" t="s">
        <v>13</v>
      </c>
      <c r="W5" s="79"/>
      <c r="X5" s="29" t="s">
        <v>25</v>
      </c>
      <c r="Y5" s="78" t="s">
        <v>13</v>
      </c>
      <c r="Z5" s="79"/>
      <c r="AA5" s="29" t="s">
        <v>25</v>
      </c>
      <c r="AB5" s="43" t="s">
        <v>25</v>
      </c>
      <c r="AC5" s="92" t="s">
        <v>13</v>
      </c>
      <c r="AD5" s="93"/>
      <c r="AE5" s="93"/>
      <c r="AF5" s="93"/>
      <c r="AG5" s="93"/>
      <c r="AH5" s="93"/>
      <c r="AI5" s="93"/>
      <c r="AJ5" s="1"/>
      <c r="AK5" s="1"/>
      <c r="AL5" s="55"/>
      <c r="AM5" s="55"/>
      <c r="AN5" s="55"/>
      <c r="AO5" s="55"/>
      <c r="AP5" s="55"/>
      <c r="AQ5" s="55"/>
      <c r="AR5" s="55"/>
      <c r="AS5" s="55"/>
      <c r="AT5" s="55"/>
      <c r="AU5" s="55"/>
      <c r="AV5" s="55"/>
      <c r="AW5" s="55"/>
      <c r="AX5" s="55"/>
      <c r="AY5" s="55"/>
      <c r="AZ5" s="55"/>
      <c r="BA5" s="55"/>
      <c r="BB5" s="55"/>
      <c r="BC5" s="55"/>
    </row>
    <row r="6" spans="1:80" s="9" customFormat="1" ht="94.5" x14ac:dyDescent="0.25">
      <c r="A6" s="88"/>
      <c r="B6" s="88"/>
      <c r="C6" s="91"/>
      <c r="D6" s="30" t="s">
        <v>14</v>
      </c>
      <c r="E6" s="30" t="s">
        <v>2</v>
      </c>
      <c r="F6" s="30" t="s">
        <v>2</v>
      </c>
      <c r="G6" s="30" t="s">
        <v>14</v>
      </c>
      <c r="H6" s="30" t="s">
        <v>2</v>
      </c>
      <c r="I6" s="30" t="s">
        <v>2</v>
      </c>
      <c r="J6" s="30" t="s">
        <v>14</v>
      </c>
      <c r="K6" s="30" t="s">
        <v>2</v>
      </c>
      <c r="L6" s="30" t="s">
        <v>2</v>
      </c>
      <c r="M6" s="30" t="s">
        <v>14</v>
      </c>
      <c r="N6" s="30" t="s">
        <v>29</v>
      </c>
      <c r="O6" s="30" t="s">
        <v>2</v>
      </c>
      <c r="P6" s="30" t="s">
        <v>14</v>
      </c>
      <c r="Q6" s="30" t="s">
        <v>29</v>
      </c>
      <c r="R6" s="30" t="s">
        <v>2</v>
      </c>
      <c r="S6" s="30" t="s">
        <v>14</v>
      </c>
      <c r="T6" s="30" t="s">
        <v>29</v>
      </c>
      <c r="U6" s="30" t="s">
        <v>2</v>
      </c>
      <c r="V6" s="30" t="s">
        <v>14</v>
      </c>
      <c r="W6" s="30" t="s">
        <v>29</v>
      </c>
      <c r="X6" s="30" t="s">
        <v>2</v>
      </c>
      <c r="Y6" s="30" t="s">
        <v>14</v>
      </c>
      <c r="Z6" s="30" t="s">
        <v>45</v>
      </c>
      <c r="AA6" s="30" t="s">
        <v>2</v>
      </c>
      <c r="AB6" s="32" t="s">
        <v>1</v>
      </c>
      <c r="AC6" s="63" t="s">
        <v>32</v>
      </c>
      <c r="AD6" s="33" t="s">
        <v>12</v>
      </c>
      <c r="AE6" s="41" t="s">
        <v>15</v>
      </c>
      <c r="AF6" s="41" t="s">
        <v>19</v>
      </c>
      <c r="AG6" s="63" t="s">
        <v>10</v>
      </c>
      <c r="AH6" s="34" t="s">
        <v>16</v>
      </c>
      <c r="AI6" s="41" t="s">
        <v>15</v>
      </c>
      <c r="AJ6" s="56"/>
      <c r="AK6" s="56"/>
      <c r="AL6" s="56"/>
      <c r="AM6" s="56"/>
      <c r="AN6" s="56"/>
      <c r="AO6" s="56"/>
      <c r="AP6" s="56"/>
      <c r="AQ6" s="56"/>
      <c r="AR6" s="56"/>
      <c r="AS6" s="56"/>
      <c r="AT6" s="56"/>
      <c r="AU6" s="56"/>
      <c r="AV6" s="56"/>
      <c r="AW6" s="56"/>
      <c r="AX6" s="56"/>
      <c r="AY6" s="56"/>
      <c r="AZ6" s="56"/>
      <c r="BA6" s="56"/>
      <c r="BB6" s="56"/>
      <c r="BC6" s="56"/>
    </row>
    <row r="7" spans="1:80" s="9" customFormat="1" ht="18.75" x14ac:dyDescent="0.25">
      <c r="A7" s="43"/>
      <c r="B7" s="43"/>
      <c r="C7" s="44"/>
      <c r="D7" s="30"/>
      <c r="E7" s="30"/>
      <c r="F7" s="30"/>
      <c r="G7" s="30"/>
      <c r="H7" s="30"/>
      <c r="I7" s="30"/>
      <c r="J7" s="47" t="s">
        <v>20</v>
      </c>
      <c r="K7" s="47" t="s">
        <v>20</v>
      </c>
      <c r="L7" s="47" t="s">
        <v>20</v>
      </c>
      <c r="M7" s="47" t="s">
        <v>20</v>
      </c>
      <c r="N7" s="47" t="s">
        <v>20</v>
      </c>
      <c r="O7" s="47" t="s">
        <v>20</v>
      </c>
      <c r="P7" s="47" t="s">
        <v>20</v>
      </c>
      <c r="Q7" s="47" t="s">
        <v>20</v>
      </c>
      <c r="R7" s="47" t="s">
        <v>20</v>
      </c>
      <c r="S7" s="47" t="s">
        <v>20</v>
      </c>
      <c r="T7" s="47" t="s">
        <v>20</v>
      </c>
      <c r="U7" s="47" t="s">
        <v>20</v>
      </c>
      <c r="V7" s="47" t="s">
        <v>20</v>
      </c>
      <c r="W7" s="47" t="s">
        <v>20</v>
      </c>
      <c r="X7" s="47" t="s">
        <v>20</v>
      </c>
      <c r="Y7" s="47" t="s">
        <v>20</v>
      </c>
      <c r="Z7" s="47" t="s">
        <v>20</v>
      </c>
      <c r="AA7" s="47" t="s">
        <v>20</v>
      </c>
      <c r="AB7" s="48"/>
      <c r="AC7" s="51" t="s">
        <v>21</v>
      </c>
      <c r="AD7" s="49" t="s">
        <v>20</v>
      </c>
      <c r="AE7" s="50"/>
      <c r="AF7" s="50"/>
      <c r="AG7" s="51" t="s">
        <v>21</v>
      </c>
      <c r="AH7" s="34" t="s">
        <v>20</v>
      </c>
      <c r="AI7" s="41"/>
      <c r="AJ7" s="56"/>
      <c r="AK7" s="56"/>
      <c r="AL7" s="56"/>
      <c r="AM7" s="56"/>
      <c r="AN7" s="56"/>
      <c r="AO7" s="56"/>
      <c r="AP7" s="56"/>
      <c r="AQ7" s="56"/>
      <c r="AR7" s="56"/>
      <c r="AS7" s="56"/>
      <c r="AT7" s="56"/>
      <c r="AU7" s="56"/>
      <c r="AV7" s="56"/>
      <c r="AW7" s="56"/>
      <c r="AX7" s="56"/>
      <c r="AY7" s="56"/>
      <c r="AZ7" s="56"/>
      <c r="BA7" s="56"/>
      <c r="BB7" s="56"/>
      <c r="BC7" s="56"/>
    </row>
    <row r="8" spans="1:80" s="11" customFormat="1" ht="22.5" customHeight="1" x14ac:dyDescent="0.2">
      <c r="A8" s="10">
        <v>1</v>
      </c>
      <c r="B8" s="10">
        <v>2</v>
      </c>
      <c r="C8" s="10">
        <v>3</v>
      </c>
      <c r="D8" s="10">
        <v>6</v>
      </c>
      <c r="E8" s="10">
        <v>7</v>
      </c>
      <c r="F8" s="10">
        <v>8</v>
      </c>
      <c r="G8" s="10">
        <v>9</v>
      </c>
      <c r="H8" s="10">
        <v>10</v>
      </c>
      <c r="I8" s="10">
        <v>11</v>
      </c>
      <c r="J8" s="10">
        <v>12</v>
      </c>
      <c r="K8" s="10">
        <v>13</v>
      </c>
      <c r="L8" s="10">
        <v>14</v>
      </c>
      <c r="M8" s="10">
        <v>15</v>
      </c>
      <c r="N8" s="10">
        <v>16</v>
      </c>
      <c r="O8" s="10">
        <v>17</v>
      </c>
      <c r="P8" s="10">
        <v>18</v>
      </c>
      <c r="Q8" s="10">
        <v>19</v>
      </c>
      <c r="R8" s="10">
        <v>20</v>
      </c>
      <c r="S8" s="10">
        <v>21</v>
      </c>
      <c r="T8" s="10">
        <v>22</v>
      </c>
      <c r="U8" s="10">
        <v>23</v>
      </c>
      <c r="V8" s="10">
        <v>24</v>
      </c>
      <c r="W8" s="10">
        <v>25</v>
      </c>
      <c r="X8" s="10">
        <v>26</v>
      </c>
      <c r="Y8" s="10">
        <v>27</v>
      </c>
      <c r="Z8" s="10">
        <v>28</v>
      </c>
      <c r="AA8" s="10">
        <v>29</v>
      </c>
      <c r="AB8" s="10">
        <v>21</v>
      </c>
      <c r="AC8" s="10">
        <v>23</v>
      </c>
      <c r="AD8" s="10">
        <v>24</v>
      </c>
      <c r="AE8" s="65" t="s">
        <v>33</v>
      </c>
      <c r="AF8" s="10">
        <v>26</v>
      </c>
      <c r="AG8" s="10">
        <v>27</v>
      </c>
      <c r="AH8" s="10">
        <v>25</v>
      </c>
      <c r="AI8" s="10">
        <v>26</v>
      </c>
      <c r="AJ8" s="59"/>
      <c r="AK8" s="57"/>
      <c r="AL8" s="57"/>
      <c r="AM8" s="57"/>
      <c r="AN8" s="57"/>
      <c r="AO8" s="57"/>
      <c r="AP8" s="57"/>
      <c r="AQ8" s="57"/>
      <c r="AR8" s="57"/>
      <c r="AS8" s="57"/>
      <c r="AT8" s="57"/>
      <c r="AU8" s="57"/>
      <c r="AV8" s="57"/>
      <c r="AW8" s="57"/>
      <c r="AX8" s="57"/>
      <c r="AY8" s="57"/>
      <c r="AZ8" s="57"/>
      <c r="BA8" s="57"/>
      <c r="BB8" s="57"/>
      <c r="BC8" s="57"/>
    </row>
    <row r="9" spans="1:80" s="13" customFormat="1" ht="18.75" customHeight="1" x14ac:dyDescent="0.25">
      <c r="A9" s="80" t="s">
        <v>11</v>
      </c>
      <c r="B9" s="81"/>
      <c r="C9" s="12">
        <f>C10+C19</f>
        <v>191681697</v>
      </c>
      <c r="D9" s="12">
        <v>2883197.4612492677</v>
      </c>
      <c r="E9" s="12">
        <v>13624080.629999999</v>
      </c>
      <c r="F9" s="12">
        <v>379061.64871280151</v>
      </c>
      <c r="G9" s="12">
        <v>10197875.919672687</v>
      </c>
      <c r="H9" s="12">
        <v>45533241.81079904</v>
      </c>
      <c r="I9" s="12">
        <v>2142103.7700000005</v>
      </c>
      <c r="J9" s="12">
        <v>19818556.270115994</v>
      </c>
      <c r="K9" s="12">
        <v>140444282.5645</v>
      </c>
      <c r="L9" s="12">
        <v>3440667.3400000003</v>
      </c>
      <c r="M9" s="12">
        <f t="shared" ref="M9:Q9" si="0">M10+M19</f>
        <v>36517849.240000002</v>
      </c>
      <c r="N9" s="12">
        <f t="shared" si="0"/>
        <v>187258233.19</v>
      </c>
      <c r="O9" s="12">
        <f t="shared" si="0"/>
        <v>7199245.1400000006</v>
      </c>
      <c r="P9" s="12">
        <f t="shared" si="0"/>
        <v>47780753.75</v>
      </c>
      <c r="Q9" s="12">
        <f t="shared" si="0"/>
        <v>279797303.56</v>
      </c>
      <c r="R9" s="12">
        <f>R10+R19</f>
        <v>10008796.039999999</v>
      </c>
      <c r="S9" s="12">
        <f t="shared" ref="S9:X9" si="1">S10+S19</f>
        <v>63134907.710000001</v>
      </c>
      <c r="T9" s="12">
        <f t="shared" si="1"/>
        <v>93801758.760000005</v>
      </c>
      <c r="U9" s="12">
        <f t="shared" si="1"/>
        <v>13451310.09</v>
      </c>
      <c r="V9" s="12">
        <f t="shared" si="1"/>
        <v>104237504.84</v>
      </c>
      <c r="W9" s="12">
        <f t="shared" si="1"/>
        <v>145263424.50999999</v>
      </c>
      <c r="X9" s="12">
        <f t="shared" si="1"/>
        <v>16157787.010000002</v>
      </c>
      <c r="Y9" s="12">
        <f t="shared" ref="Y9" si="2">Y10+Y19</f>
        <v>170529006.81999999</v>
      </c>
      <c r="Z9" s="12">
        <f t="shared" ref="Z9" si="3">Z10+Z19</f>
        <v>228964881.99000001</v>
      </c>
      <c r="AA9" s="12">
        <f t="shared" ref="AA9" si="4">AA10+AA19</f>
        <v>19622010.59</v>
      </c>
      <c r="AB9" s="12">
        <f>AB10+AB19</f>
        <v>3464223.58</v>
      </c>
      <c r="AC9" s="12">
        <f>AD9+AB9</f>
        <v>54390987.560000002</v>
      </c>
      <c r="AD9" s="36">
        <f>AD10+AD19</f>
        <v>50926763.980000004</v>
      </c>
      <c r="AE9" s="41">
        <f>AD9+AB9-AC9</f>
        <v>0</v>
      </c>
      <c r="AF9" s="42">
        <f>(AB9+AD9)/AC9</f>
        <v>1</v>
      </c>
      <c r="AG9" s="12">
        <f>AG10+AG19</f>
        <v>83701457.480000004</v>
      </c>
      <c r="AH9" s="36">
        <f>AH10+AH19</f>
        <v>83701457.480000004</v>
      </c>
      <c r="AI9" s="41">
        <f>AI10+AI19</f>
        <v>0</v>
      </c>
      <c r="AJ9" s="60"/>
      <c r="AK9" s="58"/>
      <c r="AL9" s="58"/>
      <c r="AM9" s="58"/>
      <c r="AN9" s="58"/>
      <c r="AO9" s="58"/>
      <c r="AP9" s="58"/>
      <c r="AQ9" s="58"/>
      <c r="AR9" s="58"/>
      <c r="AS9" s="58"/>
      <c r="AT9" s="58"/>
      <c r="AU9" s="58"/>
      <c r="AV9" s="58"/>
      <c r="AW9" s="58"/>
      <c r="AX9" s="58"/>
      <c r="AY9" s="58"/>
      <c r="AZ9" s="58"/>
      <c r="BA9" s="58"/>
      <c r="BB9" s="58"/>
      <c r="BC9" s="58"/>
    </row>
    <row r="10" spans="1:80" s="14" customFormat="1" ht="18.75" customHeight="1" x14ac:dyDescent="0.25">
      <c r="A10" s="82" t="s">
        <v>3</v>
      </c>
      <c r="B10" s="83"/>
      <c r="C10" s="12">
        <f t="shared" ref="C10:AB10" si="5">SUM(C11:C17)</f>
        <v>157059282</v>
      </c>
      <c r="D10" s="12">
        <f t="shared" si="5"/>
        <v>2883197.4612492677</v>
      </c>
      <c r="E10" s="12">
        <f t="shared" si="5"/>
        <v>13624080.629999999</v>
      </c>
      <c r="F10" s="12">
        <f t="shared" si="5"/>
        <v>322330.34871280153</v>
      </c>
      <c r="G10" s="12">
        <f t="shared" si="5"/>
        <v>9880537.4995566905</v>
      </c>
      <c r="H10" s="12">
        <f t="shared" si="5"/>
        <v>44982540.134599991</v>
      </c>
      <c r="I10" s="12">
        <f t="shared" si="5"/>
        <v>2016106.4400000004</v>
      </c>
      <c r="J10" s="12">
        <f t="shared" si="5"/>
        <v>18944180.189999998</v>
      </c>
      <c r="K10" s="12">
        <f t="shared" si="5"/>
        <v>121902485.52450001</v>
      </c>
      <c r="L10" s="12">
        <f t="shared" si="5"/>
        <v>4272590.37</v>
      </c>
      <c r="M10" s="12">
        <f t="shared" si="5"/>
        <v>32456654.210000001</v>
      </c>
      <c r="N10" s="12">
        <f t="shared" si="5"/>
        <v>180706955.59</v>
      </c>
      <c r="O10" s="12">
        <f t="shared" si="5"/>
        <v>6910099.9900000002</v>
      </c>
      <c r="P10" s="12">
        <f t="shared" si="5"/>
        <v>41959334.469999999</v>
      </c>
      <c r="Q10" s="12">
        <f t="shared" si="5"/>
        <v>230338671.85999998</v>
      </c>
      <c r="R10" s="12">
        <f t="shared" si="5"/>
        <v>9602732.2799999993</v>
      </c>
      <c r="S10" s="12">
        <f t="shared" si="5"/>
        <v>54434611.039999999</v>
      </c>
      <c r="T10" s="12">
        <f t="shared" si="5"/>
        <v>75268683.170000002</v>
      </c>
      <c r="U10" s="12">
        <f t="shared" si="5"/>
        <v>12829264.949999999</v>
      </c>
      <c r="V10" s="12">
        <f t="shared" si="5"/>
        <v>88974534.420000002</v>
      </c>
      <c r="W10" s="12">
        <f t="shared" si="5"/>
        <v>117399173.97999999</v>
      </c>
      <c r="X10" s="12">
        <f t="shared" si="5"/>
        <v>15149758.550000001</v>
      </c>
      <c r="Y10" s="12">
        <f t="shared" ref="Y10:AA10" si="6">SUM(Y11:Y17)</f>
        <v>137153346.78999999</v>
      </c>
      <c r="Z10" s="12">
        <f>SUM(Z11:Z17)</f>
        <v>176979852.53</v>
      </c>
      <c r="AA10" s="12">
        <f t="shared" si="6"/>
        <v>18153686.859999999</v>
      </c>
      <c r="AB10" s="12">
        <f t="shared" si="5"/>
        <v>3003928.31</v>
      </c>
      <c r="AC10" s="12">
        <f>AD10+AB10</f>
        <v>51182740.680000007</v>
      </c>
      <c r="AD10" s="36">
        <f>SUM(AD11:AD17)</f>
        <v>48178812.370000005</v>
      </c>
      <c r="AE10" s="41">
        <f>AD10+AB10-AC10</f>
        <v>0</v>
      </c>
      <c r="AF10" s="42">
        <f>(AB10+AD10)/AC10</f>
        <v>1</v>
      </c>
      <c r="AG10" s="12">
        <f>AH10</f>
        <v>59580678.550000004</v>
      </c>
      <c r="AH10" s="36">
        <f>SUM(AH11:AH17)</f>
        <v>59580678.550000004</v>
      </c>
      <c r="AI10" s="41">
        <f>AH10-AG10</f>
        <v>0</v>
      </c>
      <c r="AJ10" s="60"/>
      <c r="AK10" s="55"/>
      <c r="AL10" s="55"/>
      <c r="AM10" s="55"/>
      <c r="AN10" s="55"/>
      <c r="AO10" s="55"/>
      <c r="AP10" s="55"/>
      <c r="AQ10" s="55"/>
      <c r="AR10" s="55"/>
      <c r="AS10" s="55"/>
      <c r="AT10" s="55"/>
      <c r="AU10" s="55"/>
      <c r="AV10" s="55"/>
      <c r="AW10" s="55"/>
      <c r="AX10" s="55"/>
      <c r="AY10" s="55"/>
      <c r="AZ10" s="55"/>
      <c r="BA10" s="55"/>
      <c r="BB10" s="55"/>
      <c r="BC10" s="55"/>
      <c r="BD10" s="8"/>
      <c r="BE10" s="8"/>
      <c r="BF10" s="8"/>
      <c r="BG10" s="8"/>
      <c r="BH10" s="8"/>
      <c r="BI10" s="8"/>
      <c r="BJ10" s="8"/>
      <c r="BK10" s="8"/>
      <c r="BL10" s="8"/>
      <c r="BM10" s="8"/>
      <c r="BN10" s="8"/>
      <c r="BO10" s="8"/>
      <c r="BP10" s="8"/>
      <c r="BQ10" s="8"/>
      <c r="BR10" s="8"/>
      <c r="BS10" s="8"/>
      <c r="BT10" s="8"/>
      <c r="BU10" s="8"/>
      <c r="BV10" s="8"/>
      <c r="BW10" s="8"/>
      <c r="BX10" s="8"/>
      <c r="BY10" s="8"/>
      <c r="BZ10" s="8"/>
      <c r="CA10" s="8"/>
      <c r="CB10" s="8"/>
    </row>
    <row r="11" spans="1:80" s="18" customFormat="1" ht="18.75" x14ac:dyDescent="0.25">
      <c r="A11" s="15" t="s">
        <v>4</v>
      </c>
      <c r="B11" s="2" t="s">
        <v>5</v>
      </c>
      <c r="C11" s="17">
        <v>51259282</v>
      </c>
      <c r="D11" s="17">
        <v>2582630.0212492677</v>
      </c>
      <c r="E11" s="17">
        <v>12371566.689999999</v>
      </c>
      <c r="F11" s="17">
        <v>79081.009999999966</v>
      </c>
      <c r="G11" s="17">
        <v>7651364.4127830109</v>
      </c>
      <c r="H11" s="17">
        <v>37157677.864599995</v>
      </c>
      <c r="I11" s="17">
        <v>428194.69000000047</v>
      </c>
      <c r="J11" s="17">
        <v>14053854.949999999</v>
      </c>
      <c r="K11" s="17">
        <v>107203526.9445</v>
      </c>
      <c r="L11" s="17">
        <v>842232.06</v>
      </c>
      <c r="M11" s="17">
        <v>20231795.780000001</v>
      </c>
      <c r="N11" s="17">
        <v>154957681.11000001</v>
      </c>
      <c r="O11" s="17">
        <v>1185029.48</v>
      </c>
      <c r="P11" s="17">
        <v>26034055.149999999</v>
      </c>
      <c r="Q11" s="17">
        <v>200357794.13</v>
      </c>
      <c r="R11" s="17">
        <v>1337837.1499999999</v>
      </c>
      <c r="S11" s="17">
        <v>31290978.609999999</v>
      </c>
      <c r="T11" s="17">
        <v>31290978.609999999</v>
      </c>
      <c r="U11" s="17">
        <v>2188392.59</v>
      </c>
      <c r="V11" s="17">
        <v>39273707.469999999</v>
      </c>
      <c r="W11" s="17">
        <v>39273707.469999999</v>
      </c>
      <c r="X11" s="17">
        <v>2422421.06</v>
      </c>
      <c r="Y11" s="17">
        <v>41768939.130000003</v>
      </c>
      <c r="Z11" s="17">
        <f>Y11</f>
        <v>41768939.130000003</v>
      </c>
      <c r="AA11" s="17">
        <v>2489597.17</v>
      </c>
      <c r="AB11" s="17">
        <f>AA11-X11</f>
        <v>67176.10999999987</v>
      </c>
      <c r="AC11" s="17"/>
      <c r="AD11" s="35">
        <f>Y11-V11</f>
        <v>2495231.6600000039</v>
      </c>
      <c r="AE11" s="41"/>
      <c r="AF11" s="42"/>
      <c r="AG11" s="17"/>
      <c r="AH11" s="35">
        <f>Z11-W11</f>
        <v>2495231.6600000039</v>
      </c>
      <c r="AI11" s="41"/>
      <c r="AJ11" s="62"/>
      <c r="AK11" s="55"/>
      <c r="AL11" s="55"/>
      <c r="AM11" s="55"/>
      <c r="AN11" s="55"/>
      <c r="AO11" s="55"/>
      <c r="AP11" s="55"/>
      <c r="AQ11" s="55"/>
      <c r="AR11" s="55"/>
      <c r="AS11" s="55"/>
      <c r="AT11" s="55"/>
      <c r="AU11" s="55"/>
      <c r="AV11" s="55"/>
      <c r="AW11" s="55"/>
      <c r="AX11" s="55"/>
      <c r="AY11" s="55"/>
      <c r="AZ11" s="55"/>
      <c r="BA11" s="55"/>
      <c r="BB11" s="55"/>
      <c r="BC11" s="55"/>
      <c r="BD11" s="8"/>
      <c r="BE11" s="8"/>
      <c r="BF11" s="8"/>
      <c r="BG11" s="8"/>
      <c r="BH11" s="8"/>
      <c r="BI11" s="8"/>
      <c r="BJ11" s="8"/>
      <c r="BK11" s="8"/>
      <c r="BL11" s="8"/>
      <c r="BM11" s="8"/>
      <c r="BN11" s="8"/>
      <c r="BO11" s="8"/>
      <c r="BP11" s="8"/>
      <c r="BQ11" s="8"/>
      <c r="BR11" s="8"/>
      <c r="BS11" s="8"/>
      <c r="BT11" s="8"/>
      <c r="BU11" s="8"/>
      <c r="BV11" s="8"/>
      <c r="BW11" s="8"/>
      <c r="BX11" s="8"/>
      <c r="BY11" s="8"/>
      <c r="BZ11" s="8"/>
      <c r="CA11" s="8"/>
      <c r="CB11" s="8"/>
    </row>
    <row r="12" spans="1:80" s="18" customFormat="1" ht="18.75" x14ac:dyDescent="0.25">
      <c r="A12" s="15" t="s">
        <v>4</v>
      </c>
      <c r="B12" s="2" t="s">
        <v>6</v>
      </c>
      <c r="C12" s="17">
        <v>7000000</v>
      </c>
      <c r="D12" s="17">
        <v>0</v>
      </c>
      <c r="E12" s="17">
        <v>0</v>
      </c>
      <c r="F12" s="17">
        <v>56603.948712801575</v>
      </c>
      <c r="G12" s="17">
        <v>925453.1817736798</v>
      </c>
      <c r="H12" s="17">
        <v>2393411.3000000003</v>
      </c>
      <c r="I12" s="17">
        <v>257392.82</v>
      </c>
      <c r="J12" s="17">
        <v>1135606.45</v>
      </c>
      <c r="K12" s="17">
        <f>J12+1801304.23</f>
        <v>2936910.6799999997</v>
      </c>
      <c r="L12" s="17">
        <v>362854.93</v>
      </c>
      <c r="M12" s="17">
        <v>2847609.22</v>
      </c>
      <c r="N12" s="17">
        <f>4201511.03+M12</f>
        <v>7049120.25</v>
      </c>
      <c r="O12" s="17">
        <v>587385.11</v>
      </c>
      <c r="P12" s="17">
        <v>3494080.09</v>
      </c>
      <c r="Q12" s="17">
        <f>P12+4600270.34</f>
        <v>8094350.4299999997</v>
      </c>
      <c r="R12" s="17">
        <v>595326.55000000005</v>
      </c>
      <c r="S12" s="17">
        <v>3831687.18</v>
      </c>
      <c r="T12" s="17">
        <f>4944219.14+3831687.18</f>
        <v>8775906.3200000003</v>
      </c>
      <c r="U12" s="17">
        <v>639046.12</v>
      </c>
      <c r="V12" s="17">
        <v>5137495</v>
      </c>
      <c r="W12" s="17">
        <f>5137495+5177655.38</f>
        <v>10315150.379999999</v>
      </c>
      <c r="X12" s="17">
        <v>671606.14</v>
      </c>
      <c r="Y12" s="17">
        <v>7565571.9900000002</v>
      </c>
      <c r="Z12" s="17">
        <f>Y12+6075256.66</f>
        <v>13640828.65</v>
      </c>
      <c r="AA12" s="17">
        <v>656223.57999999996</v>
      </c>
      <c r="AB12" s="17">
        <f t="shared" ref="AB12:AB16" si="7">AA12-X12</f>
        <v>-15382.560000000056</v>
      </c>
      <c r="AC12" s="17"/>
      <c r="AD12" s="35">
        <f t="shared" ref="AD12:AD16" si="8">Y12-V12</f>
        <v>2428076.9900000002</v>
      </c>
      <c r="AE12" s="41"/>
      <c r="AF12" s="42"/>
      <c r="AG12" s="17"/>
      <c r="AH12" s="35">
        <f t="shared" ref="AH12:AH16" si="9">Z12-W12</f>
        <v>3325678.2700000014</v>
      </c>
      <c r="AI12" s="41"/>
      <c r="AJ12" s="62"/>
      <c r="AK12" s="61"/>
      <c r="AL12" s="56"/>
      <c r="AM12" s="56"/>
      <c r="AN12" s="56"/>
      <c r="AO12" s="56"/>
      <c r="AP12" s="56"/>
      <c r="AQ12" s="56"/>
      <c r="AR12" s="56"/>
      <c r="AS12" s="56"/>
      <c r="AT12" s="56"/>
      <c r="AU12" s="56"/>
      <c r="AV12" s="56"/>
      <c r="AW12" s="56"/>
      <c r="AX12" s="56"/>
      <c r="AY12" s="56"/>
      <c r="AZ12" s="56"/>
      <c r="BA12" s="56"/>
      <c r="BB12" s="56"/>
      <c r="BC12" s="56"/>
      <c r="BD12" s="9"/>
      <c r="BE12" s="9"/>
      <c r="BF12" s="9"/>
      <c r="BG12" s="9"/>
      <c r="BH12" s="9"/>
      <c r="BI12" s="9"/>
      <c r="BJ12" s="9"/>
      <c r="BK12" s="9"/>
      <c r="BL12" s="9"/>
      <c r="BM12" s="9"/>
      <c r="BN12" s="9"/>
      <c r="BO12" s="9"/>
      <c r="BP12" s="9"/>
      <c r="BQ12" s="9"/>
      <c r="BR12" s="9"/>
      <c r="BS12" s="9"/>
      <c r="BT12" s="9"/>
      <c r="BU12" s="9"/>
      <c r="BV12" s="9"/>
      <c r="BW12" s="9"/>
      <c r="BX12" s="9"/>
      <c r="BY12" s="9"/>
      <c r="BZ12" s="9"/>
      <c r="CA12" s="9"/>
      <c r="CB12" s="9"/>
    </row>
    <row r="13" spans="1:80" s="18" customFormat="1" ht="37.5" x14ac:dyDescent="0.25">
      <c r="A13" s="15"/>
      <c r="B13" s="2" t="s">
        <v>23</v>
      </c>
      <c r="C13" s="17">
        <v>15000000</v>
      </c>
      <c r="D13" s="17">
        <v>300567.44</v>
      </c>
      <c r="E13" s="17">
        <v>1252513.94</v>
      </c>
      <c r="F13" s="17">
        <v>186645.38999999998</v>
      </c>
      <c r="G13" s="17">
        <v>1303719.9049999998</v>
      </c>
      <c r="H13" s="17">
        <v>5431450.9699999997</v>
      </c>
      <c r="I13" s="17">
        <v>693975.54</v>
      </c>
      <c r="J13" s="17">
        <f>308525.95+2257741.84</f>
        <v>2566267.79</v>
      </c>
      <c r="K13" s="17">
        <f>J13+1234105.49+6773223.62</f>
        <v>10573596.9</v>
      </c>
      <c r="L13" s="17">
        <f>147587.47+793205.13</f>
        <v>940792.6</v>
      </c>
      <c r="M13" s="17">
        <f>308525.95+2696267.13</f>
        <v>3004793.08</v>
      </c>
      <c r="N13" s="17">
        <f>1234105.49+M13+8088799.53</f>
        <v>12327698.100000001</v>
      </c>
      <c r="O13" s="17">
        <f>147287.92+891622.06</f>
        <v>1038909.9800000001</v>
      </c>
      <c r="P13" s="17">
        <f>308525.95+2740408.12</f>
        <v>3048934.0700000003</v>
      </c>
      <c r="Q13" s="17">
        <f>P13+1234105.49+8221222.58</f>
        <v>12504262.140000001</v>
      </c>
      <c r="R13" s="17">
        <f>146363.71+901558.31</f>
        <v>1047922.02</v>
      </c>
      <c r="S13" s="66">
        <f>507255.45+3465966.39</f>
        <v>3973221.8400000003</v>
      </c>
      <c r="T13" s="17">
        <f>1234105.49+507255.45+3465966.39+8221222.58</f>
        <v>13428549.91</v>
      </c>
      <c r="U13" s="17">
        <f>148418.21+910668.62</f>
        <v>1059086.83</v>
      </c>
      <c r="V13" s="17">
        <f>1242777.45+6708034.58</f>
        <v>7950812.0300000003</v>
      </c>
      <c r="W13" s="17">
        <f>1234105.49+1242777.45+8221222.58+6708034.58</f>
        <v>17406140.100000001</v>
      </c>
      <c r="X13" s="17">
        <f>154263.24+987983.78</f>
        <v>1142247.02</v>
      </c>
      <c r="Y13" s="17">
        <f>1612610.41+9238159.42</f>
        <v>10850769.83</v>
      </c>
      <c r="Z13" s="17">
        <f>Y13+1234105.49+8220791.89</f>
        <v>20305667.210000001</v>
      </c>
      <c r="AA13" s="17">
        <f>154263.24+1009587.87</f>
        <v>1163851.1099999999</v>
      </c>
      <c r="AB13" s="17">
        <f t="shared" si="7"/>
        <v>21604.089999999851</v>
      </c>
      <c r="AC13" s="17"/>
      <c r="AD13" s="35">
        <f t="shared" si="8"/>
        <v>2899957.8</v>
      </c>
      <c r="AE13" s="41"/>
      <c r="AF13" s="42"/>
      <c r="AG13" s="17"/>
      <c r="AH13" s="35">
        <f t="shared" si="9"/>
        <v>2899527.1099999994</v>
      </c>
      <c r="AI13" s="41"/>
      <c r="AJ13" s="62"/>
      <c r="AK13" s="55"/>
      <c r="AL13" s="55"/>
      <c r="AM13" s="55"/>
      <c r="AN13" s="55"/>
      <c r="AO13" s="55"/>
      <c r="AP13" s="55"/>
      <c r="AQ13" s="55"/>
      <c r="AR13" s="55"/>
      <c r="AS13" s="55"/>
      <c r="AT13" s="55"/>
      <c r="AU13" s="55"/>
      <c r="AV13" s="55"/>
      <c r="AW13" s="55"/>
      <c r="AX13" s="55"/>
      <c r="AY13" s="55"/>
      <c r="AZ13" s="55"/>
      <c r="BA13" s="55"/>
      <c r="BB13" s="55"/>
      <c r="BC13" s="55"/>
      <c r="BD13" s="8"/>
      <c r="BE13" s="8"/>
      <c r="BF13" s="8"/>
      <c r="BG13" s="8"/>
      <c r="BH13" s="8"/>
      <c r="BI13" s="8"/>
      <c r="BJ13" s="8"/>
      <c r="BK13" s="8"/>
      <c r="BL13" s="8"/>
      <c r="BM13" s="8"/>
      <c r="BN13" s="8"/>
      <c r="BO13" s="8"/>
      <c r="BP13" s="8"/>
      <c r="BQ13" s="8"/>
      <c r="BR13" s="8"/>
      <c r="BS13" s="8"/>
      <c r="BT13" s="8"/>
      <c r="BU13" s="8"/>
      <c r="BV13" s="8"/>
      <c r="BW13" s="8"/>
      <c r="BX13" s="8"/>
      <c r="BY13" s="8"/>
      <c r="BZ13" s="8"/>
      <c r="CA13" s="8"/>
      <c r="CB13" s="8"/>
    </row>
    <row r="14" spans="1:80" s="18" customFormat="1" ht="18.75" x14ac:dyDescent="0.25">
      <c r="A14" s="15"/>
      <c r="B14" s="2" t="s">
        <v>30</v>
      </c>
      <c r="C14" s="16">
        <v>29200000</v>
      </c>
      <c r="D14" s="16">
        <v>0</v>
      </c>
      <c r="E14" s="16">
        <v>0</v>
      </c>
      <c r="F14" s="16">
        <v>0</v>
      </c>
      <c r="G14" s="16">
        <v>0</v>
      </c>
      <c r="H14" s="16">
        <v>0</v>
      </c>
      <c r="I14" s="3">
        <v>636543.39</v>
      </c>
      <c r="J14" s="17">
        <v>749250</v>
      </c>
      <c r="K14" s="17">
        <f>J14</f>
        <v>749250</v>
      </c>
      <c r="L14" s="17">
        <v>323157.58</v>
      </c>
      <c r="M14" s="17">
        <v>4431456.28</v>
      </c>
      <c r="N14" s="17">
        <f>M14</f>
        <v>4431456.28</v>
      </c>
      <c r="O14" s="17">
        <v>971026.9</v>
      </c>
      <c r="P14" s="17">
        <v>6439265.3099999996</v>
      </c>
      <c r="Q14" s="17">
        <f>P14</f>
        <v>6439265.3099999996</v>
      </c>
      <c r="R14" s="17">
        <v>2152102.3199999998</v>
      </c>
      <c r="S14" s="17">
        <v>10647725.09</v>
      </c>
      <c r="T14" s="17">
        <f>5534939.64+10647725.09</f>
        <v>16182664.73</v>
      </c>
      <c r="U14" s="17">
        <v>3295654.82</v>
      </c>
      <c r="V14" s="17">
        <v>15612725.199999999</v>
      </c>
      <c r="W14" s="17">
        <f>9991939.45+15612725.2</f>
        <v>25604664.649999999</v>
      </c>
      <c r="X14" s="17">
        <v>4530585.2699999996</v>
      </c>
      <c r="Y14" s="17">
        <v>20299916.18</v>
      </c>
      <c r="Z14" s="17">
        <f>Y14+14926733.87</f>
        <v>35226650.049999997</v>
      </c>
      <c r="AA14" s="17">
        <v>6394270.5199999996</v>
      </c>
      <c r="AB14" s="17">
        <f t="shared" si="7"/>
        <v>1863685.25</v>
      </c>
      <c r="AC14" s="16"/>
      <c r="AD14" s="35">
        <f t="shared" si="8"/>
        <v>4687190.9800000004</v>
      </c>
      <c r="AE14" s="41"/>
      <c r="AF14" s="42"/>
      <c r="AG14" s="16"/>
      <c r="AH14" s="35">
        <f t="shared" si="9"/>
        <v>9621985.3999999985</v>
      </c>
      <c r="AI14" s="41"/>
      <c r="AJ14" s="62"/>
      <c r="AK14" s="55"/>
      <c r="AL14" s="55"/>
      <c r="AM14" s="55"/>
      <c r="AN14" s="55"/>
      <c r="AO14" s="55"/>
      <c r="AP14" s="55"/>
      <c r="AQ14" s="55"/>
      <c r="AR14" s="55"/>
      <c r="AS14" s="55"/>
      <c r="AT14" s="55"/>
      <c r="AU14" s="55"/>
      <c r="AV14" s="55"/>
      <c r="AW14" s="55"/>
      <c r="AX14" s="55"/>
      <c r="AY14" s="55"/>
      <c r="AZ14" s="55"/>
      <c r="BA14" s="55"/>
      <c r="BB14" s="55"/>
      <c r="BC14" s="55"/>
      <c r="BD14" s="8"/>
      <c r="BE14" s="8"/>
      <c r="BF14" s="8"/>
      <c r="BG14" s="8"/>
      <c r="BH14" s="8"/>
      <c r="BI14" s="8"/>
      <c r="BJ14" s="8"/>
      <c r="BK14" s="8"/>
      <c r="BL14" s="8"/>
      <c r="BM14" s="8"/>
      <c r="BN14" s="8"/>
      <c r="BO14" s="8"/>
      <c r="BP14" s="8"/>
      <c r="BQ14" s="8"/>
      <c r="BR14" s="8"/>
      <c r="BS14" s="8"/>
      <c r="BT14" s="8"/>
      <c r="BU14" s="8"/>
      <c r="BV14" s="8"/>
      <c r="BW14" s="8"/>
      <c r="BX14" s="8"/>
      <c r="BY14" s="8"/>
      <c r="BZ14" s="8"/>
      <c r="CA14" s="8"/>
      <c r="CB14" s="8"/>
    </row>
    <row r="15" spans="1:80" s="18" customFormat="1" ht="37.5" x14ac:dyDescent="0.25">
      <c r="A15" s="15"/>
      <c r="B15" s="15" t="s">
        <v>7</v>
      </c>
      <c r="C15" s="17">
        <v>16000000</v>
      </c>
      <c r="D15" s="17">
        <v>0</v>
      </c>
      <c r="E15" s="17">
        <v>0</v>
      </c>
      <c r="F15" s="17">
        <v>0</v>
      </c>
      <c r="G15" s="17">
        <v>0</v>
      </c>
      <c r="H15" s="17">
        <v>0</v>
      </c>
      <c r="I15" s="17">
        <v>0</v>
      </c>
      <c r="J15" s="17">
        <v>439201</v>
      </c>
      <c r="K15" s="17">
        <f>J15</f>
        <v>439201</v>
      </c>
      <c r="L15" s="17">
        <v>838769.89</v>
      </c>
      <c r="M15" s="17">
        <v>1940999.85</v>
      </c>
      <c r="N15" s="17">
        <f>M15</f>
        <v>1940999.85</v>
      </c>
      <c r="O15" s="17">
        <v>1892769.62</v>
      </c>
      <c r="P15" s="17">
        <v>2942999.85</v>
      </c>
      <c r="Q15" s="17">
        <f>P15</f>
        <v>2942999.85</v>
      </c>
      <c r="R15" s="17">
        <v>2882660.33</v>
      </c>
      <c r="S15" s="17">
        <v>4690998.32</v>
      </c>
      <c r="T15" s="17">
        <f>899585.28+4690998.32</f>
        <v>5590583.6000000006</v>
      </c>
      <c r="U15" s="17">
        <v>3642562.85</v>
      </c>
      <c r="V15" s="17">
        <v>6088797.8899999997</v>
      </c>
      <c r="W15" s="17">
        <f>3799716.66+6088797.89</f>
        <v>9888514.5500000007</v>
      </c>
      <c r="X15" s="17">
        <v>4115987.25</v>
      </c>
      <c r="Y15" s="17">
        <v>8015323.6399999997</v>
      </c>
      <c r="Z15" s="17">
        <f>Y15+5447410.28</f>
        <v>13462733.92</v>
      </c>
      <c r="AA15" s="17">
        <v>5110656.6900000004</v>
      </c>
      <c r="AB15" s="17">
        <f t="shared" si="7"/>
        <v>994669.44000000041</v>
      </c>
      <c r="AC15" s="17"/>
      <c r="AD15" s="35">
        <f t="shared" si="8"/>
        <v>1926525.75</v>
      </c>
      <c r="AE15" s="41"/>
      <c r="AF15" s="42"/>
      <c r="AG15" s="17"/>
      <c r="AH15" s="35">
        <f t="shared" si="9"/>
        <v>3574219.3699999992</v>
      </c>
      <c r="AI15" s="41"/>
      <c r="AJ15" s="62"/>
      <c r="AK15" s="55"/>
      <c r="AL15" s="55"/>
      <c r="AM15" s="55"/>
      <c r="AN15" s="55"/>
      <c r="AO15" s="55"/>
      <c r="AP15" s="55"/>
      <c r="AQ15" s="55"/>
      <c r="AR15" s="55"/>
      <c r="AS15" s="55"/>
      <c r="AT15" s="55"/>
      <c r="AU15" s="55"/>
      <c r="AV15" s="55"/>
      <c r="AW15" s="55"/>
      <c r="AX15" s="55"/>
      <c r="AY15" s="55"/>
      <c r="AZ15" s="55"/>
      <c r="BA15" s="55"/>
      <c r="BB15" s="55"/>
      <c r="BC15" s="55"/>
      <c r="BD15" s="8"/>
      <c r="BE15" s="8"/>
      <c r="BF15" s="8"/>
      <c r="BG15" s="8"/>
      <c r="BH15" s="8"/>
      <c r="BI15" s="8"/>
      <c r="BJ15" s="8"/>
      <c r="BK15" s="8"/>
      <c r="BL15" s="8"/>
      <c r="BM15" s="8"/>
      <c r="BN15" s="8"/>
      <c r="BO15" s="8"/>
      <c r="BP15" s="8"/>
      <c r="BQ15" s="8"/>
      <c r="BR15" s="8"/>
      <c r="BS15" s="8"/>
      <c r="BT15" s="8"/>
      <c r="BU15" s="8"/>
      <c r="BV15" s="8"/>
      <c r="BW15" s="8"/>
      <c r="BX15" s="8"/>
      <c r="BY15" s="8"/>
      <c r="BZ15" s="8"/>
      <c r="CA15" s="8"/>
      <c r="CB15" s="8"/>
    </row>
    <row r="16" spans="1:80" s="18" customFormat="1" ht="37.5" x14ac:dyDescent="0.25">
      <c r="A16" s="15"/>
      <c r="B16" s="2" t="s">
        <v>37</v>
      </c>
      <c r="C16" s="17">
        <v>38600000</v>
      </c>
      <c r="D16" s="17"/>
      <c r="E16" s="17"/>
      <c r="F16" s="17"/>
      <c r="G16" s="17"/>
      <c r="H16" s="17"/>
      <c r="I16" s="17"/>
      <c r="J16" s="17"/>
      <c r="K16" s="17"/>
      <c r="L16" s="17"/>
      <c r="M16" s="17"/>
      <c r="N16" s="17"/>
      <c r="O16" s="17"/>
      <c r="P16" s="17"/>
      <c r="Q16" s="17"/>
      <c r="R16" s="17"/>
      <c r="S16" s="17"/>
      <c r="T16" s="17"/>
      <c r="U16" s="17"/>
      <c r="V16" s="17">
        <v>14910996.83</v>
      </c>
      <c r="W16" s="17">
        <v>14910996.83</v>
      </c>
      <c r="X16" s="17">
        <v>0</v>
      </c>
      <c r="Y16" s="17">
        <v>48652826.020000003</v>
      </c>
      <c r="Z16" s="17">
        <v>52575033.57</v>
      </c>
      <c r="AA16" s="17">
        <v>114471.44</v>
      </c>
      <c r="AB16" s="17">
        <f t="shared" si="7"/>
        <v>114471.44</v>
      </c>
      <c r="AC16" s="17"/>
      <c r="AD16" s="35">
        <f t="shared" si="8"/>
        <v>33741829.190000005</v>
      </c>
      <c r="AE16" s="41"/>
      <c r="AF16" s="42"/>
      <c r="AG16" s="17"/>
      <c r="AH16" s="35">
        <f t="shared" si="9"/>
        <v>37664036.740000002</v>
      </c>
      <c r="AI16" s="41"/>
      <c r="AJ16" s="62"/>
      <c r="AK16" s="55"/>
      <c r="AL16" s="55"/>
      <c r="AM16" s="55"/>
      <c r="AN16" s="55"/>
      <c r="AO16" s="55"/>
      <c r="AP16" s="55"/>
      <c r="AQ16" s="55"/>
      <c r="AR16" s="55"/>
      <c r="AS16" s="55"/>
      <c r="AT16" s="55"/>
      <c r="AU16" s="55"/>
      <c r="AV16" s="55"/>
      <c r="AW16" s="55"/>
      <c r="AX16" s="55"/>
      <c r="AY16" s="55"/>
      <c r="AZ16" s="55"/>
      <c r="BA16" s="55"/>
      <c r="BB16" s="55"/>
      <c r="BC16" s="55"/>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0" s="18" customFormat="1" ht="18.75" x14ac:dyDescent="0.25">
      <c r="A17" s="84" t="s">
        <v>27</v>
      </c>
      <c r="B17" s="69"/>
      <c r="C17" s="12"/>
      <c r="D17" s="39"/>
      <c r="E17" s="39"/>
      <c r="F17" s="39"/>
      <c r="G17" s="39"/>
      <c r="H17" s="39"/>
      <c r="I17" s="28"/>
      <c r="J17" s="39"/>
      <c r="K17" s="39"/>
      <c r="L17" s="39">
        <v>964783.31</v>
      </c>
      <c r="M17" s="39"/>
      <c r="N17" s="39"/>
      <c r="O17" s="39">
        <v>1234978.8999999999</v>
      </c>
      <c r="P17" s="39"/>
      <c r="Q17" s="39"/>
      <c r="R17" s="39">
        <v>1586883.91</v>
      </c>
      <c r="S17" s="39"/>
      <c r="T17" s="39"/>
      <c r="U17" s="39">
        <v>2004521.74</v>
      </c>
      <c r="V17" s="39"/>
      <c r="W17" s="39"/>
      <c r="X17" s="39">
        <v>2266911.81</v>
      </c>
      <c r="Y17" s="39"/>
      <c r="Z17" s="39"/>
      <c r="AA17" s="39">
        <v>2224616.35</v>
      </c>
      <c r="AB17" s="22">
        <f>AA17-X17</f>
        <v>-42295.459999999963</v>
      </c>
      <c r="AC17" s="22"/>
      <c r="AD17" s="22"/>
      <c r="AE17" s="22"/>
      <c r="AF17" s="22"/>
      <c r="AG17" s="22"/>
      <c r="AH17" s="22"/>
      <c r="AI17" s="22"/>
      <c r="AJ17" s="62"/>
      <c r="AK17" s="55"/>
      <c r="AL17" s="57"/>
      <c r="AM17" s="57"/>
      <c r="AN17" s="57"/>
      <c r="AO17" s="57"/>
      <c r="AP17" s="57"/>
      <c r="AQ17" s="57"/>
      <c r="AR17" s="57"/>
      <c r="AS17" s="57"/>
      <c r="AT17" s="57"/>
      <c r="AU17" s="57"/>
      <c r="AV17" s="57"/>
      <c r="AW17" s="57"/>
      <c r="AX17" s="57"/>
      <c r="AY17" s="57"/>
      <c r="AZ17" s="57"/>
      <c r="BA17" s="57"/>
      <c r="BB17" s="57"/>
      <c r="BC17" s="57"/>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row>
    <row r="18" spans="1:80" s="18" customFormat="1" ht="18.75" x14ac:dyDescent="0.25">
      <c r="A18" s="20"/>
      <c r="B18" s="20"/>
      <c r="C18" s="21"/>
      <c r="D18" s="23"/>
      <c r="E18" s="23"/>
      <c r="F18" s="23"/>
      <c r="G18" s="23"/>
      <c r="H18" s="23"/>
      <c r="I18" s="23"/>
      <c r="J18" s="23"/>
      <c r="K18" s="23"/>
      <c r="L18" s="23"/>
      <c r="M18" s="23"/>
      <c r="N18" s="23"/>
      <c r="O18" s="23"/>
      <c r="P18" s="23"/>
      <c r="Q18" s="23"/>
      <c r="R18" s="23"/>
      <c r="S18" s="23"/>
      <c r="T18" s="23"/>
      <c r="U18" s="23"/>
      <c r="V18" s="23"/>
      <c r="W18" s="23"/>
      <c r="X18" s="23"/>
      <c r="Y18" s="23"/>
      <c r="Z18" s="23"/>
      <c r="AA18" s="23"/>
      <c r="AB18" s="24"/>
      <c r="AC18" s="24"/>
      <c r="AD18" s="24"/>
      <c r="AE18" s="24"/>
      <c r="AF18" s="24"/>
      <c r="AG18" s="24"/>
      <c r="AH18" s="24"/>
      <c r="AI18" s="24"/>
      <c r="AJ18" s="62"/>
      <c r="AK18" s="55"/>
      <c r="AL18" s="56"/>
      <c r="AM18" s="56"/>
      <c r="AN18" s="56"/>
      <c r="AO18" s="56"/>
      <c r="AP18" s="56"/>
      <c r="AQ18" s="56"/>
      <c r="AR18" s="56"/>
      <c r="AS18" s="56"/>
      <c r="AT18" s="56"/>
      <c r="AU18" s="56"/>
      <c r="AV18" s="56"/>
      <c r="AW18" s="56"/>
      <c r="AX18" s="56"/>
      <c r="AY18" s="56"/>
      <c r="AZ18" s="56"/>
      <c r="BA18" s="56"/>
      <c r="BB18" s="56"/>
      <c r="BC18" s="56"/>
      <c r="BD18" s="9"/>
      <c r="BE18" s="9"/>
      <c r="BF18" s="9"/>
      <c r="BG18" s="9"/>
      <c r="BH18" s="9"/>
      <c r="BI18" s="9"/>
      <c r="BJ18" s="9"/>
      <c r="BK18" s="9"/>
      <c r="BL18" s="9"/>
      <c r="BM18" s="9"/>
      <c r="BN18" s="9"/>
      <c r="BO18" s="9"/>
      <c r="BP18" s="9"/>
      <c r="BQ18" s="9"/>
      <c r="BR18" s="9"/>
      <c r="BS18" s="9"/>
      <c r="BT18" s="9"/>
      <c r="BU18" s="9"/>
      <c r="BV18" s="9"/>
      <c r="BW18" s="9"/>
      <c r="BX18" s="9"/>
      <c r="BY18" s="9"/>
      <c r="BZ18" s="9"/>
      <c r="CA18" s="9"/>
      <c r="CB18" s="9"/>
    </row>
    <row r="19" spans="1:80" s="14" customFormat="1" ht="36" customHeight="1" x14ac:dyDescent="0.25">
      <c r="A19" s="69" t="s">
        <v>8</v>
      </c>
      <c r="B19" s="69"/>
      <c r="C19" s="12">
        <f>C20+C21</f>
        <v>34622415</v>
      </c>
      <c r="D19" s="12">
        <f t="shared" ref="D19:AH19" si="10">D20+D21</f>
        <v>0</v>
      </c>
      <c r="E19" s="12">
        <f t="shared" si="10"/>
        <v>0</v>
      </c>
      <c r="F19" s="12">
        <f t="shared" si="10"/>
        <v>56731.3</v>
      </c>
      <c r="G19" s="12">
        <f t="shared" si="10"/>
        <v>317338.42011599697</v>
      </c>
      <c r="H19" s="12">
        <f t="shared" si="10"/>
        <v>550701.67619905144</v>
      </c>
      <c r="I19" s="12">
        <f t="shared" si="10"/>
        <v>125997.32999999999</v>
      </c>
      <c r="J19" s="12">
        <f t="shared" si="10"/>
        <v>1857707.43</v>
      </c>
      <c r="K19" s="12">
        <f t="shared" si="10"/>
        <v>2602620.0299999998</v>
      </c>
      <c r="L19" s="12">
        <f t="shared" si="10"/>
        <v>170986.91</v>
      </c>
      <c r="M19" s="12">
        <f t="shared" si="10"/>
        <v>4061195.0300000003</v>
      </c>
      <c r="N19" s="12">
        <f t="shared" si="10"/>
        <v>6551277.6000000006</v>
      </c>
      <c r="O19" s="12">
        <f t="shared" si="10"/>
        <v>289145.15000000002</v>
      </c>
      <c r="P19" s="12">
        <f t="shared" si="10"/>
        <v>5821419.2800000003</v>
      </c>
      <c r="Q19" s="12">
        <f t="shared" si="10"/>
        <v>49458631.700000003</v>
      </c>
      <c r="R19" s="12">
        <f t="shared" si="10"/>
        <v>406063.75999999995</v>
      </c>
      <c r="S19" s="12">
        <f t="shared" si="10"/>
        <v>8700296.6699999999</v>
      </c>
      <c r="T19" s="12">
        <f t="shared" si="10"/>
        <v>18533075.59</v>
      </c>
      <c r="U19" s="12">
        <f t="shared" si="10"/>
        <v>622045.1399999999</v>
      </c>
      <c r="V19" s="12">
        <f t="shared" si="10"/>
        <v>15262970.42</v>
      </c>
      <c r="W19" s="12">
        <f t="shared" si="10"/>
        <v>27864250.530000001</v>
      </c>
      <c r="X19" s="12">
        <f t="shared" si="10"/>
        <v>1008028.46</v>
      </c>
      <c r="Y19" s="12">
        <f t="shared" si="10"/>
        <v>33375660.030000001</v>
      </c>
      <c r="Z19" s="12">
        <f t="shared" si="10"/>
        <v>51985029.460000001</v>
      </c>
      <c r="AA19" s="12">
        <f t="shared" si="10"/>
        <v>1468323.73</v>
      </c>
      <c r="AB19" s="12">
        <f t="shared" si="10"/>
        <v>460295.27</v>
      </c>
      <c r="AC19" s="12">
        <f>AD19+AB19</f>
        <v>3208246.8800000013</v>
      </c>
      <c r="AD19" s="12">
        <f t="shared" si="10"/>
        <v>2747951.6100000013</v>
      </c>
      <c r="AE19" s="41">
        <f>AD19-AC19+AB19</f>
        <v>0</v>
      </c>
      <c r="AF19" s="42">
        <f>(AD19+AB19)/AC19</f>
        <v>1</v>
      </c>
      <c r="AG19" s="12">
        <f>AH19</f>
        <v>24120778.93</v>
      </c>
      <c r="AH19" s="12">
        <f t="shared" si="10"/>
        <v>24120778.93</v>
      </c>
      <c r="AI19" s="41">
        <f>AH19-AG19</f>
        <v>0</v>
      </c>
      <c r="AJ19" s="62"/>
      <c r="AK19" s="55"/>
      <c r="AL19" s="57"/>
      <c r="AM19" s="57"/>
      <c r="AN19" s="57"/>
      <c r="AO19" s="57"/>
      <c r="AP19" s="57"/>
      <c r="AQ19" s="57"/>
      <c r="AR19" s="57"/>
      <c r="AS19" s="57"/>
      <c r="AT19" s="57"/>
      <c r="AU19" s="57"/>
      <c r="AV19" s="57"/>
      <c r="AW19" s="57"/>
      <c r="AX19" s="57"/>
      <c r="AY19" s="57"/>
      <c r="AZ19" s="57"/>
      <c r="BA19" s="57"/>
      <c r="BB19" s="57"/>
      <c r="BC19" s="57"/>
      <c r="BD19" s="11"/>
      <c r="BE19" s="11"/>
      <c r="BF19" s="11"/>
      <c r="BG19" s="11"/>
      <c r="BH19" s="11"/>
      <c r="BI19" s="11"/>
      <c r="BJ19" s="11"/>
      <c r="BK19" s="11"/>
      <c r="BL19" s="11"/>
      <c r="BM19" s="11"/>
      <c r="BN19" s="11"/>
      <c r="BO19" s="11"/>
      <c r="BP19" s="11"/>
      <c r="BQ19" s="11"/>
      <c r="BR19" s="11"/>
      <c r="BS19" s="11"/>
      <c r="BT19" s="11"/>
      <c r="BU19" s="11"/>
      <c r="BV19" s="11"/>
      <c r="BW19" s="11"/>
      <c r="BX19" s="9"/>
      <c r="BY19" s="9"/>
      <c r="BZ19" s="9"/>
      <c r="CA19" s="9"/>
      <c r="CB19" s="9"/>
    </row>
    <row r="20" spans="1:80" s="18" customFormat="1" ht="75" x14ac:dyDescent="0.25">
      <c r="A20" s="15"/>
      <c r="B20" s="2" t="s">
        <v>9</v>
      </c>
      <c r="C20" s="16">
        <v>18791231.449999999</v>
      </c>
      <c r="D20" s="19">
        <v>0</v>
      </c>
      <c r="E20" s="16">
        <v>0</v>
      </c>
      <c r="F20" s="16">
        <v>56731.3</v>
      </c>
      <c r="G20" s="16">
        <v>317338.42011599697</v>
      </c>
      <c r="H20" s="16">
        <v>550701.67619905144</v>
      </c>
      <c r="I20" s="16">
        <v>125997.32999999999</v>
      </c>
      <c r="J20" s="16">
        <f>149019.96+1708687.47</f>
        <v>1857707.43</v>
      </c>
      <c r="K20" s="16">
        <f>J20+26849.52+410362.18+307700.9</f>
        <v>2602620.0299999998</v>
      </c>
      <c r="L20" s="3">
        <f>144896.31+26090.6</f>
        <v>170986.91</v>
      </c>
      <c r="M20" s="16">
        <f>646024.66+3415170.37</f>
        <v>4061195.0300000003</v>
      </c>
      <c r="N20" s="16">
        <f>M20+114004.35+1773401.09+602677.13</f>
        <v>6551277.6000000006</v>
      </c>
      <c r="O20" s="3">
        <f>39867.15+7035.38+205906.22+36336.4</f>
        <v>289145.15000000002</v>
      </c>
      <c r="P20" s="3">
        <f>1567613.12+4253806.16</f>
        <v>5821419.2800000003</v>
      </c>
      <c r="Q20" s="3">
        <f>P20+276637.64+4303252.17+39057322.61</f>
        <v>49458631.700000003</v>
      </c>
      <c r="R20" s="3">
        <f>81778.65+14431.53+263375.54+46478.04</f>
        <v>406063.75999999995</v>
      </c>
      <c r="S20" s="3">
        <f>3022638.56+5677658.11</f>
        <v>8700296.6699999999</v>
      </c>
      <c r="T20" s="3">
        <f>533406.7+8297439.83+3022638.56+5677658.11+1001932.39</f>
        <v>18533075.59</v>
      </c>
      <c r="U20" s="3">
        <f>178891.42+31569.08+349846.94+61737.7</f>
        <v>622045.1399999999</v>
      </c>
      <c r="V20" s="3">
        <f>5320130.65+9942839.77</f>
        <v>15262970.42</v>
      </c>
      <c r="W20" s="3">
        <f>938846.36+9907814.97+5320130.65+9942839.77+1754618.78</f>
        <v>27864250.530000001</v>
      </c>
      <c r="X20" s="3">
        <f>252106.55+44489.41+604717.6+106714.9</f>
        <v>1008028.46</v>
      </c>
      <c r="Y20" s="3">
        <f>8501362.51+9509559.52</f>
        <v>18010922.030000001</v>
      </c>
      <c r="Z20" s="3">
        <f>Y20+1500240.45+12492219.96+1678157.56</f>
        <v>33681540</v>
      </c>
      <c r="AA20" s="3">
        <f>199644.42+35231.37+578720.75+102127.19</f>
        <v>915723.73</v>
      </c>
      <c r="AB20" s="16">
        <f>AA20-X20</f>
        <v>-92304.729999999981</v>
      </c>
      <c r="AC20" s="16"/>
      <c r="AD20" s="35">
        <f>Y20-V20</f>
        <v>2747951.6100000013</v>
      </c>
      <c r="AE20" s="41"/>
      <c r="AF20" s="42"/>
      <c r="AG20" s="16"/>
      <c r="AH20" s="35">
        <f>Z20-W20</f>
        <v>5817289.4699999988</v>
      </c>
      <c r="AI20" s="41"/>
      <c r="AJ20" s="62"/>
      <c r="AK20" s="55"/>
      <c r="AL20" s="56"/>
      <c r="AM20" s="56"/>
      <c r="AN20" s="56"/>
      <c r="AO20" s="56"/>
      <c r="AP20" s="56"/>
      <c r="AQ20" s="56"/>
      <c r="AR20" s="56"/>
      <c r="AS20" s="56"/>
      <c r="AT20" s="56"/>
      <c r="AU20" s="56"/>
      <c r="AV20" s="56"/>
      <c r="AW20" s="56"/>
      <c r="AX20" s="56"/>
      <c r="AY20" s="56"/>
      <c r="AZ20" s="56"/>
      <c r="BA20" s="56"/>
      <c r="BB20" s="56"/>
      <c r="BC20" s="56"/>
      <c r="BD20" s="9"/>
      <c r="BE20" s="9"/>
      <c r="BF20" s="9"/>
      <c r="BG20" s="9"/>
      <c r="BH20" s="9"/>
      <c r="BI20" s="9"/>
      <c r="BJ20" s="9"/>
      <c r="BK20" s="9"/>
      <c r="BL20" s="9"/>
      <c r="BM20" s="9"/>
      <c r="BN20" s="9"/>
      <c r="BO20" s="9"/>
      <c r="BP20" s="9"/>
      <c r="BQ20" s="9"/>
      <c r="BR20" s="9"/>
      <c r="BS20" s="9"/>
      <c r="BT20" s="9"/>
      <c r="BU20" s="9"/>
      <c r="BV20" s="9"/>
      <c r="BW20" s="9"/>
      <c r="BX20" s="11"/>
      <c r="BY20" s="11"/>
      <c r="BZ20" s="11"/>
      <c r="CA20" s="11"/>
      <c r="CB20" s="11"/>
    </row>
    <row r="21" spans="1:80" s="18" customFormat="1" ht="56.25" x14ac:dyDescent="0.25">
      <c r="A21" s="15"/>
      <c r="B21" s="2" t="s">
        <v>36</v>
      </c>
      <c r="C21" s="16">
        <v>15831183.550000001</v>
      </c>
      <c r="D21" s="19"/>
      <c r="E21" s="16"/>
      <c r="F21" s="16"/>
      <c r="G21" s="16"/>
      <c r="H21" s="16"/>
      <c r="I21" s="16"/>
      <c r="J21" s="16"/>
      <c r="K21" s="16"/>
      <c r="L21" s="3"/>
      <c r="M21" s="16"/>
      <c r="N21" s="16"/>
      <c r="O21" s="3"/>
      <c r="P21" s="3"/>
      <c r="Q21" s="3"/>
      <c r="R21" s="3"/>
      <c r="S21" s="3">
        <v>0</v>
      </c>
      <c r="T21" s="3">
        <v>0</v>
      </c>
      <c r="U21" s="3">
        <v>0</v>
      </c>
      <c r="V21" s="3">
        <v>0</v>
      </c>
      <c r="W21" s="3">
        <v>0</v>
      </c>
      <c r="X21" s="3">
        <v>0</v>
      </c>
      <c r="Y21" s="3">
        <v>15364738</v>
      </c>
      <c r="Z21" s="3">
        <f>Y21+2938751.46</f>
        <v>18303489.460000001</v>
      </c>
      <c r="AA21" s="3">
        <v>552600</v>
      </c>
      <c r="AB21" s="16">
        <f>AA21-X21</f>
        <v>552600</v>
      </c>
      <c r="AC21" s="16"/>
      <c r="AD21" s="35">
        <f>V21-S21</f>
        <v>0</v>
      </c>
      <c r="AE21" s="41"/>
      <c r="AF21" s="42"/>
      <c r="AG21" s="16"/>
      <c r="AH21" s="35">
        <f>Z21-W21</f>
        <v>18303489.460000001</v>
      </c>
      <c r="AI21" s="41"/>
      <c r="AJ21" s="62"/>
      <c r="AK21" s="55"/>
      <c r="AL21" s="56"/>
      <c r="AM21" s="56"/>
      <c r="AN21" s="56"/>
      <c r="AO21" s="56"/>
      <c r="AP21" s="56"/>
      <c r="AQ21" s="56"/>
      <c r="AR21" s="56"/>
      <c r="AS21" s="56"/>
      <c r="AT21" s="56"/>
      <c r="AU21" s="56"/>
      <c r="AV21" s="56"/>
      <c r="AW21" s="56"/>
      <c r="AX21" s="56"/>
      <c r="AY21" s="56"/>
      <c r="AZ21" s="56"/>
      <c r="BA21" s="56"/>
      <c r="BB21" s="56"/>
      <c r="BC21" s="56"/>
      <c r="BD21" s="9"/>
      <c r="BE21" s="9"/>
      <c r="BF21" s="9"/>
      <c r="BG21" s="9"/>
      <c r="BH21" s="9"/>
      <c r="BI21" s="9"/>
      <c r="BJ21" s="9"/>
      <c r="BK21" s="9"/>
      <c r="BL21" s="9"/>
      <c r="BM21" s="9"/>
      <c r="BN21" s="9"/>
      <c r="BO21" s="9"/>
      <c r="BP21" s="9"/>
      <c r="BQ21" s="9"/>
      <c r="BR21" s="9"/>
      <c r="BS21" s="9"/>
      <c r="BT21" s="9"/>
      <c r="BU21" s="9"/>
      <c r="BV21" s="9"/>
      <c r="BW21" s="9"/>
      <c r="BX21" s="11"/>
      <c r="BY21" s="11"/>
      <c r="BZ21" s="11"/>
      <c r="CA21" s="11"/>
      <c r="CB21" s="11"/>
    </row>
    <row r="22" spans="1:80" x14ac:dyDescent="0.25">
      <c r="A22" s="25"/>
      <c r="B22" s="25"/>
      <c r="C22" s="26"/>
      <c r="D22" s="26"/>
      <c r="E22" s="26"/>
      <c r="F22" s="26"/>
      <c r="G22" s="26"/>
      <c r="H22" s="27"/>
      <c r="I22" s="27"/>
      <c r="J22" s="27"/>
      <c r="K22" s="27"/>
      <c r="L22" s="27"/>
      <c r="M22" s="27"/>
      <c r="N22" s="27"/>
      <c r="O22" s="27"/>
      <c r="P22" s="27"/>
      <c r="Q22" s="27"/>
      <c r="R22" s="27"/>
      <c r="S22" s="27"/>
      <c r="T22" s="27"/>
      <c r="U22" s="27"/>
      <c r="V22" s="27"/>
      <c r="W22" s="27"/>
      <c r="X22" s="27"/>
      <c r="Y22" s="27"/>
      <c r="Z22" s="27"/>
      <c r="AA22" s="27"/>
      <c r="AB22" s="26"/>
      <c r="AC22" s="27"/>
      <c r="AD22" s="27"/>
      <c r="AE22" s="27"/>
      <c r="AF22" s="27"/>
      <c r="AG22" s="27"/>
      <c r="AH22" s="27"/>
      <c r="AI22" s="27"/>
      <c r="AJ22" s="4"/>
      <c r="AL22" s="55"/>
      <c r="AM22" s="55"/>
      <c r="AN22" s="55"/>
      <c r="AO22" s="55"/>
      <c r="AP22" s="55"/>
      <c r="AQ22" s="55"/>
      <c r="AR22" s="55"/>
      <c r="AS22" s="55"/>
      <c r="AT22" s="55"/>
      <c r="AU22" s="55"/>
      <c r="AV22" s="55"/>
      <c r="AW22" s="55"/>
      <c r="AX22" s="55"/>
      <c r="AY22" s="55"/>
      <c r="AZ22" s="55"/>
      <c r="BA22" s="55"/>
      <c r="BB22" s="55"/>
      <c r="BC22" s="55"/>
    </row>
    <row r="23" spans="1:80" ht="98.25" customHeight="1" x14ac:dyDescent="0.3">
      <c r="A23" s="68" t="s">
        <v>42</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L23" s="55"/>
      <c r="AM23" s="55"/>
      <c r="AN23" s="55"/>
      <c r="AO23" s="55"/>
      <c r="AP23" s="55"/>
      <c r="AQ23" s="55"/>
      <c r="AR23" s="55"/>
      <c r="AS23" s="55"/>
      <c r="AT23" s="55"/>
      <c r="AU23" s="55"/>
      <c r="AV23" s="55"/>
      <c r="AW23" s="55"/>
      <c r="AX23" s="55"/>
      <c r="AY23" s="55"/>
      <c r="AZ23" s="55"/>
      <c r="BA23" s="55"/>
      <c r="BB23" s="55"/>
      <c r="BC23" s="55"/>
    </row>
    <row r="24" spans="1:80" ht="24" x14ac:dyDescent="0.3">
      <c r="A24" s="53" t="s">
        <v>41</v>
      </c>
      <c r="O24" s="64"/>
      <c r="AL24" s="55"/>
      <c r="AM24" s="55"/>
      <c r="AN24" s="55"/>
      <c r="AO24" s="55"/>
      <c r="AP24" s="55"/>
      <c r="AQ24" s="55"/>
      <c r="AR24" s="55"/>
      <c r="AS24" s="55"/>
      <c r="AT24" s="55"/>
      <c r="AU24" s="55"/>
      <c r="AV24" s="55"/>
      <c r="AW24" s="55"/>
      <c r="AX24" s="55"/>
      <c r="AY24" s="55"/>
      <c r="AZ24" s="55"/>
      <c r="BA24" s="55"/>
      <c r="BB24" s="55"/>
      <c r="BC24" s="55"/>
    </row>
    <row r="25" spans="1:80" ht="20.25" x14ac:dyDescent="0.3">
      <c r="A25" s="53"/>
      <c r="B25" s="45"/>
      <c r="C25" s="46"/>
      <c r="D25" s="45"/>
      <c r="E25" s="45"/>
      <c r="F25" s="45"/>
      <c r="G25" s="45"/>
      <c r="H25" s="45"/>
      <c r="I25" s="45"/>
      <c r="J25" s="45"/>
      <c r="K25" s="45"/>
      <c r="L25" s="45"/>
      <c r="M25" s="45"/>
      <c r="N25" s="45"/>
      <c r="O25" s="64"/>
      <c r="P25" s="45"/>
      <c r="Q25" s="45"/>
      <c r="R25" s="45"/>
      <c r="S25" s="67"/>
      <c r="T25" s="45"/>
      <c r="U25" s="45"/>
      <c r="V25" s="45"/>
      <c r="W25" s="45"/>
      <c r="X25" s="45"/>
      <c r="Y25" s="45"/>
      <c r="Z25" s="45"/>
      <c r="AA25" s="45"/>
      <c r="AB25" s="45"/>
      <c r="AL25" s="55"/>
      <c r="AM25" s="55"/>
      <c r="AN25" s="55"/>
      <c r="AO25" s="55"/>
      <c r="AP25" s="55"/>
      <c r="AQ25" s="55"/>
      <c r="AR25" s="55"/>
      <c r="AS25" s="55"/>
      <c r="AT25" s="55"/>
      <c r="AU25" s="55"/>
      <c r="AV25" s="55"/>
      <c r="AW25" s="55"/>
      <c r="AX25" s="55"/>
      <c r="AY25" s="55"/>
      <c r="AZ25" s="55"/>
      <c r="BA25" s="55"/>
      <c r="BB25" s="55"/>
      <c r="BC25" s="55"/>
    </row>
    <row r="26" spans="1:80" ht="18.75" x14ac:dyDescent="0.3">
      <c r="A26" s="54"/>
      <c r="B26" s="45"/>
      <c r="C26" s="46"/>
      <c r="D26" s="45"/>
      <c r="E26" s="45"/>
      <c r="F26" s="45"/>
      <c r="G26" s="45"/>
      <c r="H26" s="45"/>
      <c r="I26" s="45"/>
      <c r="J26" s="45"/>
      <c r="K26" s="45"/>
      <c r="L26" s="45"/>
      <c r="M26" s="45"/>
      <c r="N26" s="45"/>
      <c r="O26" s="64"/>
      <c r="P26" s="45"/>
      <c r="Q26" s="45"/>
      <c r="R26" s="45"/>
      <c r="S26" s="45"/>
      <c r="T26" s="45"/>
      <c r="U26" s="45"/>
      <c r="V26" s="45"/>
      <c r="W26" s="45"/>
      <c r="X26" s="45"/>
      <c r="Y26" s="45"/>
      <c r="Z26" s="45"/>
      <c r="AA26" s="45"/>
      <c r="AB26" s="45"/>
      <c r="AL26" s="55"/>
      <c r="AM26" s="55"/>
      <c r="AN26" s="55"/>
      <c r="AO26" s="55"/>
      <c r="AP26" s="55"/>
      <c r="AQ26" s="55"/>
      <c r="AR26" s="55"/>
      <c r="AS26" s="55"/>
      <c r="AT26" s="55"/>
      <c r="AU26" s="55"/>
      <c r="AV26" s="55"/>
      <c r="AW26" s="55"/>
      <c r="AX26" s="55"/>
      <c r="AY26" s="55"/>
      <c r="AZ26" s="55"/>
      <c r="BA26" s="55"/>
      <c r="BB26" s="55"/>
      <c r="BC26" s="55"/>
    </row>
    <row r="27" spans="1:80" ht="18.75" x14ac:dyDescent="0.3">
      <c r="B27" s="45"/>
      <c r="C27" s="46"/>
      <c r="D27" s="45"/>
      <c r="E27" s="45"/>
      <c r="F27" s="45"/>
      <c r="G27" s="45"/>
      <c r="H27" s="45"/>
      <c r="I27" s="45"/>
      <c r="J27" s="45"/>
      <c r="K27" s="45"/>
      <c r="L27" s="45"/>
      <c r="M27" s="45"/>
      <c r="N27" s="45"/>
      <c r="O27" s="64"/>
      <c r="P27" s="45"/>
      <c r="Q27" s="45"/>
      <c r="R27" s="45"/>
      <c r="S27" s="45"/>
      <c r="T27" s="45"/>
      <c r="U27" s="45"/>
      <c r="V27" s="45"/>
      <c r="W27" s="45"/>
      <c r="X27" s="45"/>
      <c r="Y27" s="45"/>
      <c r="Z27" s="45"/>
      <c r="AA27" s="45"/>
      <c r="AB27" s="45"/>
      <c r="AL27" s="55"/>
      <c r="AM27" s="55"/>
      <c r="AN27" s="55"/>
      <c r="AO27" s="55"/>
      <c r="AP27" s="55"/>
      <c r="AQ27" s="55"/>
      <c r="AR27" s="55"/>
      <c r="AS27" s="55"/>
      <c r="AT27" s="55"/>
      <c r="AU27" s="55"/>
      <c r="AV27" s="55"/>
      <c r="AW27" s="55"/>
      <c r="AX27" s="55"/>
      <c r="AY27" s="55"/>
      <c r="AZ27" s="55"/>
      <c r="BA27" s="55"/>
      <c r="BB27" s="55"/>
      <c r="BC27" s="55"/>
    </row>
    <row r="28" spans="1:80" ht="18.75" x14ac:dyDescent="0.3">
      <c r="A28" s="52"/>
      <c r="B28" s="45"/>
      <c r="C28" s="46"/>
      <c r="D28" s="45"/>
      <c r="E28" s="45"/>
      <c r="F28" s="45"/>
      <c r="G28" s="45"/>
      <c r="H28" s="45"/>
      <c r="I28" s="45"/>
      <c r="J28" s="45"/>
      <c r="K28" s="45"/>
      <c r="L28" s="45"/>
      <c r="M28" s="45"/>
      <c r="N28" s="45"/>
      <c r="O28" s="64"/>
      <c r="P28" s="45"/>
      <c r="Q28" s="45"/>
      <c r="R28" s="45"/>
      <c r="S28" s="45"/>
      <c r="T28" s="45"/>
      <c r="U28" s="45"/>
      <c r="V28" s="45"/>
      <c r="W28" s="45"/>
      <c r="X28" s="45"/>
      <c r="Y28" s="45"/>
      <c r="Z28" s="45"/>
      <c r="AA28" s="45"/>
      <c r="AB28" s="45"/>
      <c r="AL28" s="55"/>
      <c r="AM28" s="55"/>
      <c r="AN28" s="55"/>
      <c r="AO28" s="55"/>
      <c r="AP28" s="55"/>
      <c r="AQ28" s="55"/>
      <c r="AR28" s="55"/>
      <c r="AS28" s="55"/>
      <c r="AT28" s="55"/>
      <c r="AU28" s="55"/>
      <c r="AV28" s="55"/>
      <c r="AW28" s="55"/>
      <c r="AX28" s="55"/>
      <c r="AY28" s="55"/>
      <c r="AZ28" s="55"/>
      <c r="BA28" s="55"/>
      <c r="BB28" s="55"/>
      <c r="BC28" s="55"/>
    </row>
    <row r="29" spans="1:80" ht="18.75" x14ac:dyDescent="0.3">
      <c r="A29" s="37"/>
      <c r="B29"/>
      <c r="C29" s="38"/>
      <c r="D29"/>
      <c r="E29"/>
      <c r="F29"/>
      <c r="G29"/>
      <c r="H29"/>
      <c r="I29"/>
      <c r="J29"/>
      <c r="K29"/>
      <c r="L29"/>
      <c r="M29"/>
      <c r="N29"/>
      <c r="O29" s="64"/>
      <c r="P29"/>
      <c r="Q29"/>
      <c r="R29"/>
      <c r="S29"/>
      <c r="T29"/>
      <c r="U29"/>
      <c r="V29"/>
      <c r="W29"/>
      <c r="X29"/>
      <c r="Y29"/>
      <c r="Z29"/>
      <c r="AA29"/>
      <c r="AB29"/>
      <c r="AL29" s="55"/>
      <c r="AM29" s="55"/>
      <c r="AN29" s="55"/>
      <c r="AO29" s="55"/>
      <c r="AP29" s="55"/>
      <c r="AQ29" s="55"/>
      <c r="AR29" s="55"/>
      <c r="AS29" s="55"/>
      <c r="AT29" s="55"/>
      <c r="AU29" s="55"/>
      <c r="AV29" s="55"/>
      <c r="AW29" s="55"/>
      <c r="AX29" s="55"/>
      <c r="AY29" s="55"/>
      <c r="AZ29" s="55"/>
      <c r="BA29" s="55"/>
      <c r="BB29" s="55"/>
      <c r="BC29" s="55"/>
    </row>
    <row r="30" spans="1:80" ht="18.75" x14ac:dyDescent="0.3">
      <c r="O30" s="64"/>
    </row>
    <row r="31" spans="1:80" ht="18.75"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row>
  </sheetData>
  <mergeCells count="28">
    <mergeCell ref="AC5:AI5"/>
    <mergeCell ref="AB3:AI4"/>
    <mergeCell ref="P5:Q5"/>
    <mergeCell ref="S3:U4"/>
    <mergeCell ref="S5:T5"/>
    <mergeCell ref="V3:X4"/>
    <mergeCell ref="V5:W5"/>
    <mergeCell ref="J3:L4"/>
    <mergeCell ref="Y3:AA4"/>
    <mergeCell ref="Y5:Z5"/>
    <mergeCell ref="J5:K5"/>
    <mergeCell ref="M5:N5"/>
    <mergeCell ref="A23:AI23"/>
    <mergeCell ref="A19:B19"/>
    <mergeCell ref="A2:AG2"/>
    <mergeCell ref="A31:AB31"/>
    <mergeCell ref="D3:F4"/>
    <mergeCell ref="D5:E5"/>
    <mergeCell ref="G3:I4"/>
    <mergeCell ref="G5:H5"/>
    <mergeCell ref="A9:B9"/>
    <mergeCell ref="A10:B10"/>
    <mergeCell ref="A17:B17"/>
    <mergeCell ref="M3:O4"/>
    <mergeCell ref="A3:A6"/>
    <mergeCell ref="B3:B6"/>
    <mergeCell ref="C3:C6"/>
    <mergeCell ref="P3:R4"/>
  </mergeCells>
  <conditionalFormatting sqref="AE6:AF7 AE9:AF16 AI9:AI16">
    <cfRule type="cellIs" dxfId="3" priority="9" operator="lessThan">
      <formula>0</formula>
    </cfRule>
  </conditionalFormatting>
  <conditionalFormatting sqref="AE19:AF21">
    <cfRule type="cellIs" dxfId="2" priority="1" operator="lessThan">
      <formula>0</formula>
    </cfRule>
  </conditionalFormatting>
  <conditionalFormatting sqref="AI6:AI7">
    <cfRule type="cellIs" dxfId="1" priority="7" operator="lessThan">
      <formula>0</formula>
    </cfRule>
  </conditionalFormatting>
  <conditionalFormatting sqref="AI19:AI21">
    <cfRule type="cellIs" dxfId="0" priority="48" operator="lessThan">
      <formula>0</formula>
    </cfRule>
  </conditionalFormatting>
  <pageMargins left="0.23622047244094491" right="0.23622047244094491" top="0.74803149606299213" bottom="0.74803149606299213" header="0.31496062992125984" footer="0.31496062992125984"/>
  <pageSetup paperSize="9" scale="44" orientation="landscape" r:id="rId1"/>
</worksheet>
</file>

<file path=docMetadata/LabelInfo.xml><?xml version="1.0" encoding="utf-8"?>
<clbl:labelList xmlns:clbl="http://schemas.microsoft.com/office/2020/mipLabelMetadata">
  <clbl:label id="{1b8a7570-3ec8-4c4e-9532-5dbb2f157b31}" enabled="1" method="Standard" siteId="{fd50a0e4-c289-4266-b7ff-7d9cf5066e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merki_maksajumi_GS</vt:lpstr>
      <vt:lpstr>merki_maksajumi_GS!Print_Area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Rolands Paņko</dc:creator>
  <cp:lastModifiedBy>Aigars Davidovičs</cp:lastModifiedBy>
  <cp:lastPrinted>2018-05-17T06:47:54Z</cp:lastPrinted>
  <dcterms:created xsi:type="dcterms:W3CDTF">2017-04-04T08:37:10Z</dcterms:created>
  <dcterms:modified xsi:type="dcterms:W3CDTF">2024-10-02T08:14:45Z</dcterms:modified>
</cp:coreProperties>
</file>