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90" windowWidth="12285" windowHeight="12540" firstSheet="1" activeTab="1"/>
  </bookViews>
  <sheets>
    <sheet name="pielikums Nr.1" sheetId="2" state="hidden" r:id="rId1"/>
    <sheet name="cet.plāni" sheetId="7" r:id="rId2"/>
    <sheet name="maksajumu_merku_neizpilde" sheetId="8" state="hidden" r:id="rId3"/>
    <sheet name="Grafiks" sheetId="9" state="hidden" r:id="rId4"/>
    <sheet name="Salīdzinājums" sheetId="11" state="hidden" r:id="rId5"/>
    <sheet name="Apguve dalījumā pa ministr" sheetId="3" state="hidden" r:id="rId6"/>
    <sheet name="Sheet1" sheetId="10" state="hidden" r:id="rId7"/>
  </sheets>
  <externalReferences>
    <externalReference r:id="rId8"/>
  </externalReferences>
  <definedNames>
    <definedName name="_xlnm._FilterDatabase" localSheetId="1" hidden="1">cet.plāni!$A$24:$W$66</definedName>
    <definedName name="_xlnm._FilterDatabase" localSheetId="0" hidden="1">'pielikums Nr.1'!$A$12:$AU$262</definedName>
    <definedName name="_xlnm.Print_Area" localSheetId="1">cet.plāni!$A$8:$U$71</definedName>
    <definedName name="_xlnm.Print_Area" localSheetId="2">maksajumu_merku_neizpilde!$A$1:$AT$42</definedName>
    <definedName name="_xlnm.Print_Area" localSheetId="0">'pielikums Nr.1'!$A$1:$AU$262</definedName>
    <definedName name="_xlnm.Print_Titles" localSheetId="1">cet.plāni!$11:$13</definedName>
    <definedName name="_xlnm.Print_Titles" localSheetId="0">'pielikums Nr.1'!$5:$6</definedName>
  </definedNames>
  <calcPr calcId="145621"/>
  <customWorkbookViews>
    <customWorkbookView name="es-muran - Personal View" guid="{8B7C6BB7-45FF-402B-981E-E6FFFABEA84E}" mergeInterval="0" personalView="1" maximized="1" xWindow="1" yWindow="1" windowWidth="1280" windowHeight="798" activeSheetId="1" showComments="commIndAndComment"/>
    <customWorkbookView name="pd-radvi - Personal View" guid="{F0B32F6D-42BD-46A3-BA22-028FEAFE569C}" mergeInterval="0" personalView="1" maximized="1" xWindow="1" yWindow="1" windowWidth="1280" windowHeight="780" activeSheetId="1"/>
    <customWorkbookView name="es-sparn - Personal View" guid="{D856094A-916A-479F-90F3-26AD004B3022}" mergeInterval="0" personalView="1" maximized="1" xWindow="1" yWindow="1" windowWidth="1280" windowHeight="768" activeSheetId="1"/>
    <customWorkbookView name="pd-auder - Personal View" guid="{1B3811A1-226A-408D-9227-AFDEB1DA163B}" mergeInterval="0" personalView="1" maximized="1" xWindow="1" yWindow="1" windowWidth="1024" windowHeight="547" activeSheetId="1"/>
    <customWorkbookView name="es-murni - Personal View" guid="{B630F875-ABC6-47AE-A71B-262D51AE3B53}" mergeInterval="0" personalView="1" maximized="1" xWindow="1" yWindow="1" windowWidth="1280" windowHeight="803" tabRatio="325" activeSheetId="1"/>
    <customWorkbookView name="it-breik - Personal View" guid="{4D9D6020-4B9F-4592-AF04-6BE675921256}" mergeInterval="0" personalView="1" maximized="1" xWindow="1" yWindow="1" windowWidth="1280" windowHeight="805" activeSheetId="1"/>
    <customWorkbookView name="es-drazn - Personal View" guid="{66F78BDC-EF00-417C-8719-D1DD7D4F8A6F}" mergeInterval="0" personalView="1" maximized="1" xWindow="1" yWindow="1" windowWidth="1152" windowHeight="643" activeSheetId="1"/>
    <customWorkbookView name="es-dolbu - Personal View" guid="{D16958F7-EADF-470B-BCCB-C285D64A9969}" mergeInterval="0" personalView="1" maximized="1" xWindow="1" yWindow="1" windowWidth="1152" windowHeight="643" activeSheetId="1"/>
    <customWorkbookView name="fud-albin - Personal View" guid="{CA72AE52-AB7B-4B59-88FC-62C104034738}" mergeInterval="0" personalView="1" maximized="1" xWindow="1" yWindow="1" windowWidth="1280" windowHeight="782" activeSheetId="1"/>
    <customWorkbookView name="fsd-vilde - Personal View" guid="{CE2F9B1E-42A5-4921-AD2C-BAA2FAE8F84E}" mergeInterval="0" personalView="1" maximized="1" xWindow="1" yWindow="1" windowWidth="1152" windowHeight="643" activeSheetId="1"/>
    <customWorkbookView name="Grante Dita - Personal View" guid="{071BD56D-49F3-4830-AA49-832AB18442DA}" mergeInterval="0" personalView="1" maximized="1" xWindow="1" yWindow="1" windowWidth="1280" windowHeight="804" activeSheetId="1" showComments="commIndAndComment"/>
    <customWorkbookView name="Inga Balode - Personal View" guid="{8B78E06E-42F5-46F9-BC31-BE4230723415}" mergeInterval="0" personalView="1" maximized="1" xWindow="1" yWindow="1" windowWidth="1024" windowHeight="542" activeSheetId="1"/>
  </customWorkbookViews>
</workbook>
</file>

<file path=xl/calcChain.xml><?xml version="1.0" encoding="utf-8"?>
<calcChain xmlns="http://schemas.openxmlformats.org/spreadsheetml/2006/main">
  <c r="U60" i="7" l="1"/>
  <c r="R29" i="7" l="1"/>
  <c r="Q29" i="7"/>
  <c r="Q28" i="7" l="1"/>
  <c r="P25" i="7"/>
  <c r="Q25" i="7" s="1"/>
  <c r="R25" i="7" s="1"/>
  <c r="R27" i="7"/>
  <c r="P29" i="7"/>
  <c r="R47" i="7" l="1"/>
  <c r="Q47" i="7"/>
  <c r="P47" i="7"/>
  <c r="O47" i="7"/>
  <c r="R55" i="7"/>
  <c r="Q55" i="7"/>
  <c r="R52" i="7"/>
  <c r="Q52" i="7"/>
  <c r="P52" i="7"/>
  <c r="R40" i="7"/>
  <c r="Q40" i="7"/>
  <c r="P40" i="7"/>
  <c r="R37" i="7"/>
  <c r="Q37" i="7"/>
  <c r="P37" i="7"/>
  <c r="R30" i="7"/>
  <c r="Q30" i="7"/>
  <c r="P30" i="7"/>
  <c r="R24" i="7"/>
  <c r="Q24" i="7"/>
  <c r="P24" i="7"/>
  <c r="R22" i="7"/>
  <c r="Q22" i="7"/>
  <c r="P22" i="7"/>
  <c r="R19" i="7"/>
  <c r="R18" i="7"/>
  <c r="R17" i="7"/>
  <c r="R21" i="7" s="1"/>
  <c r="Q19" i="7"/>
  <c r="Q18" i="7"/>
  <c r="Q17" i="7"/>
  <c r="Q21" i="7" s="1"/>
  <c r="P19" i="7"/>
  <c r="P18" i="7"/>
  <c r="P17" i="7"/>
  <c r="P21" i="7" s="1"/>
  <c r="P15" i="7" l="1"/>
  <c r="P23" i="7" s="1"/>
  <c r="R15" i="7"/>
  <c r="R23" i="7" s="1"/>
  <c r="Q15" i="7"/>
  <c r="Q23" i="7" s="1"/>
  <c r="S62" i="7"/>
  <c r="G12" i="11" l="1"/>
  <c r="H11" i="11"/>
  <c r="H10" i="11"/>
  <c r="I9" i="11"/>
  <c r="H9" i="11"/>
  <c r="I7" i="11"/>
  <c r="I6" i="11"/>
  <c r="F12" i="11"/>
  <c r="E12" i="11"/>
  <c r="D12" i="11"/>
  <c r="D27" i="9" l="1"/>
  <c r="G31" i="9"/>
  <c r="E19" i="9" l="1"/>
  <c r="E11" i="9"/>
  <c r="E15" i="9"/>
  <c r="D23" i="9"/>
  <c r="D19" i="9"/>
  <c r="D23" i="10" l="1"/>
  <c r="D22" i="10"/>
  <c r="D21" i="10"/>
  <c r="D20" i="10"/>
  <c r="D19" i="10"/>
  <c r="D18" i="10"/>
  <c r="D15" i="10"/>
  <c r="D13" i="10"/>
  <c r="D9" i="10"/>
  <c r="D8" i="10"/>
  <c r="D7" i="10"/>
  <c r="D6" i="10"/>
  <c r="D17" i="10" l="1"/>
  <c r="D12" i="10"/>
  <c r="D5" i="10"/>
  <c r="G55" i="7"/>
  <c r="G52" i="7"/>
  <c r="G40" i="7"/>
  <c r="G37" i="7"/>
  <c r="I47" i="7"/>
  <c r="G47" i="7"/>
  <c r="H47" i="7"/>
  <c r="E47" i="7"/>
  <c r="C7" i="11" l="1"/>
  <c r="C12" i="9"/>
  <c r="J9" i="10"/>
  <c r="B7" i="11"/>
  <c r="B11" i="9"/>
  <c r="D4" i="10"/>
  <c r="L50" i="7"/>
  <c r="M50" i="7" l="1"/>
  <c r="N40" i="7"/>
  <c r="G22" i="7"/>
  <c r="G21" i="7"/>
  <c r="G19" i="7"/>
  <c r="G18" i="7"/>
  <c r="G17" i="7"/>
  <c r="F22" i="7"/>
  <c r="F21" i="7"/>
  <c r="F19" i="7"/>
  <c r="F18" i="7"/>
  <c r="F17" i="7"/>
  <c r="J9" i="11" l="1"/>
  <c r="K9" i="11" s="1"/>
  <c r="F19" i="9"/>
  <c r="AY27" i="8"/>
  <c r="AT27" i="8"/>
  <c r="AO27" i="8"/>
  <c r="AN27" i="8"/>
  <c r="AI27" i="8"/>
  <c r="AH27" i="8"/>
  <c r="AD27" i="8"/>
  <c r="AC27" i="8"/>
  <c r="Y27" i="8"/>
  <c r="X27" i="8"/>
  <c r="T27" i="8"/>
  <c r="S27" i="8"/>
  <c r="O27" i="8"/>
  <c r="N27" i="8"/>
  <c r="J27" i="8"/>
  <c r="I27" i="8"/>
  <c r="E27" i="8"/>
  <c r="E23" i="8" s="1"/>
  <c r="D27" i="8"/>
  <c r="C27" i="8"/>
  <c r="C23" i="8" s="1"/>
  <c r="B27" i="8"/>
  <c r="AY26" i="8"/>
  <c r="AT26" i="8"/>
  <c r="AO26" i="8"/>
  <c r="AN26" i="8"/>
  <c r="AI26" i="8"/>
  <c r="AH26" i="8"/>
  <c r="AD26" i="8"/>
  <c r="AC26" i="8"/>
  <c r="Y26" i="8"/>
  <c r="X26" i="8"/>
  <c r="T26" i="8"/>
  <c r="S26" i="8"/>
  <c r="O26" i="8"/>
  <c r="N26" i="8"/>
  <c r="J26" i="8"/>
  <c r="I26" i="8"/>
  <c r="E26" i="8"/>
  <c r="D26" i="8"/>
  <c r="C26" i="8"/>
  <c r="B26" i="8"/>
  <c r="AY25" i="8"/>
  <c r="AT25" i="8"/>
  <c r="AO25" i="8"/>
  <c r="AN25" i="8"/>
  <c r="AI25" i="8"/>
  <c r="AH25" i="8"/>
  <c r="AD25" i="8"/>
  <c r="AC25" i="8"/>
  <c r="Y25" i="8"/>
  <c r="X25" i="8"/>
  <c r="T25" i="8"/>
  <c r="S25" i="8"/>
  <c r="O25" i="8"/>
  <c r="N25" i="8"/>
  <c r="J25" i="8"/>
  <c r="I25" i="8"/>
  <c r="E25" i="8"/>
  <c r="D25" i="8"/>
  <c r="C25" i="8"/>
  <c r="B25" i="8"/>
  <c r="AY24" i="8"/>
  <c r="AY23" i="8" s="1"/>
  <c r="AT24" i="8"/>
  <c r="AO24" i="8"/>
  <c r="AO23" i="8" s="1"/>
  <c r="AN24" i="8"/>
  <c r="AN23" i="8" s="1"/>
  <c r="AI24" i="8"/>
  <c r="AH24" i="8"/>
  <c r="AD24" i="8"/>
  <c r="AD23" i="8" s="1"/>
  <c r="AC24" i="8"/>
  <c r="AC23" i="8" s="1"/>
  <c r="Y24" i="8"/>
  <c r="Y23" i="8" s="1"/>
  <c r="X24" i="8"/>
  <c r="X23" i="8" s="1"/>
  <c r="T24" i="8"/>
  <c r="T23" i="8" s="1"/>
  <c r="S24" i="8"/>
  <c r="S23" i="8" s="1"/>
  <c r="O24" i="8"/>
  <c r="O23" i="8" s="1"/>
  <c r="N24" i="8"/>
  <c r="N23" i="8" s="1"/>
  <c r="J24" i="8"/>
  <c r="J23" i="8" s="1"/>
  <c r="I24" i="8"/>
  <c r="I23" i="8" s="1"/>
  <c r="E24" i="8"/>
  <c r="D24" i="8"/>
  <c r="D23" i="8" s="1"/>
  <c r="C24" i="8"/>
  <c r="B24" i="8"/>
  <c r="B23" i="8" s="1"/>
  <c r="BA23" i="8"/>
  <c r="AZ23" i="8"/>
  <c r="AV23" i="8"/>
  <c r="AU23" i="8"/>
  <c r="AI23" i="8"/>
  <c r="AY22" i="8"/>
  <c r="AT22" i="8"/>
  <c r="AO22" i="8"/>
  <c r="AN22" i="8"/>
  <c r="AI22" i="8"/>
  <c r="AH22" i="8"/>
  <c r="AD22" i="8"/>
  <c r="AC22" i="8"/>
  <c r="Y22" i="8"/>
  <c r="X22" i="8"/>
  <c r="T22" i="8"/>
  <c r="S22" i="8"/>
  <c r="O22" i="8"/>
  <c r="N22" i="8"/>
  <c r="J22" i="8"/>
  <c r="I22" i="8"/>
  <c r="E22" i="8"/>
  <c r="D22" i="8"/>
  <c r="C22" i="8"/>
  <c r="B22" i="8"/>
  <c r="AY21" i="8"/>
  <c r="AT21" i="8"/>
  <c r="AO21" i="8"/>
  <c r="AN21" i="8"/>
  <c r="AI21" i="8"/>
  <c r="AH21" i="8"/>
  <c r="AD21" i="8"/>
  <c r="AC21" i="8"/>
  <c r="Y21" i="8"/>
  <c r="X21" i="8"/>
  <c r="T21" i="8"/>
  <c r="S21" i="8"/>
  <c r="O21" i="8"/>
  <c r="N21" i="8"/>
  <c r="J21" i="8"/>
  <c r="I21" i="8"/>
  <c r="E21" i="8"/>
  <c r="D21" i="8"/>
  <c r="C21" i="8"/>
  <c r="B21" i="8"/>
  <c r="AY20" i="8"/>
  <c r="AT20" i="8"/>
  <c r="AO20" i="8"/>
  <c r="AN20" i="8"/>
  <c r="AI20" i="8"/>
  <c r="AH20" i="8"/>
  <c r="AD20" i="8"/>
  <c r="AC20" i="8"/>
  <c r="Y20" i="8"/>
  <c r="X20" i="8"/>
  <c r="T20" i="8"/>
  <c r="S20" i="8"/>
  <c r="O20" i="8"/>
  <c r="N20" i="8"/>
  <c r="J20" i="8"/>
  <c r="I20" i="8"/>
  <c r="E20" i="8"/>
  <c r="D20" i="8"/>
  <c r="C20" i="8"/>
  <c r="B20" i="8"/>
  <c r="AY19" i="8"/>
  <c r="AT19" i="8"/>
  <c r="AO19" i="8"/>
  <c r="AN19" i="8"/>
  <c r="AI19" i="8"/>
  <c r="AH19" i="8"/>
  <c r="AD19" i="8"/>
  <c r="AC19" i="8"/>
  <c r="Y19" i="8"/>
  <c r="X19" i="8"/>
  <c r="T19" i="8"/>
  <c r="S19" i="8"/>
  <c r="O19" i="8"/>
  <c r="N19" i="8"/>
  <c r="J19" i="8"/>
  <c r="I19" i="8"/>
  <c r="E19" i="8"/>
  <c r="D19" i="8"/>
  <c r="C19" i="8"/>
  <c r="AE19" i="8" s="1"/>
  <c r="B19" i="8"/>
  <c r="AY18" i="8"/>
  <c r="AY36" i="8" s="1"/>
  <c r="AT18" i="8"/>
  <c r="AT36" i="8" s="1"/>
  <c r="AO18" i="8"/>
  <c r="AO36" i="8" s="1"/>
  <c r="AN18" i="8"/>
  <c r="AN36" i="8" s="1"/>
  <c r="AI18" i="8"/>
  <c r="AI36" i="8" s="1"/>
  <c r="AH18" i="8"/>
  <c r="AH36" i="8" s="1"/>
  <c r="AD18" i="8"/>
  <c r="AD36" i="8" s="1"/>
  <c r="AC18" i="8"/>
  <c r="AC36" i="8" s="1"/>
  <c r="Y18" i="8"/>
  <c r="Y36" i="8" s="1"/>
  <c r="X18" i="8"/>
  <c r="X36" i="8" s="1"/>
  <c r="T18" i="8"/>
  <c r="T36" i="8" s="1"/>
  <c r="S18" i="8"/>
  <c r="S36" i="8" s="1"/>
  <c r="O18" i="8"/>
  <c r="O36" i="8" s="1"/>
  <c r="N18" i="8"/>
  <c r="N36" i="8" s="1"/>
  <c r="J18" i="8"/>
  <c r="J36" i="8" s="1"/>
  <c r="I18" i="8"/>
  <c r="I36" i="8" s="1"/>
  <c r="E18" i="8"/>
  <c r="E36" i="8" s="1"/>
  <c r="D18" i="8"/>
  <c r="D36" i="8" s="1"/>
  <c r="C18" i="8"/>
  <c r="C36" i="8" s="1"/>
  <c r="B18" i="8"/>
  <c r="B36" i="8" s="1"/>
  <c r="AY17" i="8"/>
  <c r="AT17" i="8"/>
  <c r="AO17" i="8"/>
  <c r="AN17" i="8"/>
  <c r="AI17" i="8"/>
  <c r="AH17" i="8"/>
  <c r="AD17" i="8"/>
  <c r="AC17" i="8"/>
  <c r="Y17" i="8"/>
  <c r="X17" i="8"/>
  <c r="T17" i="8"/>
  <c r="S17" i="8"/>
  <c r="O17" i="8"/>
  <c r="N17" i="8"/>
  <c r="J17" i="8"/>
  <c r="I17" i="8"/>
  <c r="E17" i="8"/>
  <c r="D17" i="8"/>
  <c r="C17" i="8"/>
  <c r="AE17" i="8" s="1"/>
  <c r="B17" i="8"/>
  <c r="AY16" i="8"/>
  <c r="AT16" i="8"/>
  <c r="AO16" i="8"/>
  <c r="AN16" i="8"/>
  <c r="AI16" i="8"/>
  <c r="AH16" i="8"/>
  <c r="AD16" i="8"/>
  <c r="AC16" i="8"/>
  <c r="Y16" i="8"/>
  <c r="X16" i="8"/>
  <c r="T16" i="8"/>
  <c r="S16" i="8"/>
  <c r="O16" i="8"/>
  <c r="N16" i="8"/>
  <c r="J16" i="8"/>
  <c r="I16" i="8"/>
  <c r="E16" i="8"/>
  <c r="D16" i="8"/>
  <c r="C16" i="8"/>
  <c r="AP16" i="8" s="1"/>
  <c r="B16" i="8"/>
  <c r="AY15" i="8"/>
  <c r="AT15" i="8"/>
  <c r="AO15" i="8"/>
  <c r="AN15" i="8"/>
  <c r="AI15" i="8"/>
  <c r="AH15" i="8"/>
  <c r="AD15" i="8"/>
  <c r="AC15" i="8"/>
  <c r="Y15" i="8"/>
  <c r="X15" i="8"/>
  <c r="T15" i="8"/>
  <c r="S15" i="8"/>
  <c r="O15" i="8"/>
  <c r="N15" i="8"/>
  <c r="J15" i="8"/>
  <c r="I15" i="8"/>
  <c r="E15" i="8"/>
  <c r="D15" i="8"/>
  <c r="C15" i="8"/>
  <c r="AE15" i="8" s="1"/>
  <c r="B15" i="8"/>
  <c r="AY14" i="8"/>
  <c r="AT14" i="8"/>
  <c r="AO14" i="8"/>
  <c r="AN14" i="8"/>
  <c r="AI14" i="8"/>
  <c r="AH14" i="8"/>
  <c r="AD14" i="8"/>
  <c r="AC14" i="8"/>
  <c r="Y14" i="8"/>
  <c r="X14" i="8"/>
  <c r="T14" i="8"/>
  <c r="S14" i="8"/>
  <c r="O14" i="8"/>
  <c r="N14" i="8"/>
  <c r="J14" i="8"/>
  <c r="I14" i="8"/>
  <c r="E14" i="8"/>
  <c r="D14" i="8"/>
  <c r="C14" i="8"/>
  <c r="B14" i="8"/>
  <c r="AY13" i="8"/>
  <c r="AY39" i="8" s="1"/>
  <c r="AT13" i="8"/>
  <c r="AT39" i="8" s="1"/>
  <c r="AO13" i="8"/>
  <c r="AO39" i="8" s="1"/>
  <c r="AN13" i="8"/>
  <c r="AN39" i="8" s="1"/>
  <c r="AI13" i="8"/>
  <c r="AI39" i="8" s="1"/>
  <c r="AH13" i="8"/>
  <c r="AH39" i="8" s="1"/>
  <c r="AD13" i="8"/>
  <c r="AD39" i="8" s="1"/>
  <c r="AC13" i="8"/>
  <c r="AC39" i="8" s="1"/>
  <c r="Y13" i="8"/>
  <c r="Y39" i="8" s="1"/>
  <c r="X13" i="8"/>
  <c r="X39" i="8" s="1"/>
  <c r="T13" i="8"/>
  <c r="T39" i="8" s="1"/>
  <c r="S13" i="8"/>
  <c r="S39" i="8" s="1"/>
  <c r="O13" i="8"/>
  <c r="O39" i="8" s="1"/>
  <c r="N13" i="8"/>
  <c r="N39" i="8" s="1"/>
  <c r="J13" i="8"/>
  <c r="J39" i="8" s="1"/>
  <c r="I13" i="8"/>
  <c r="I39" i="8" s="1"/>
  <c r="E13" i="8"/>
  <c r="E39" i="8" s="1"/>
  <c r="D13" i="8"/>
  <c r="D39" i="8" s="1"/>
  <c r="C13" i="8"/>
  <c r="C39" i="8" s="1"/>
  <c r="B13" i="8"/>
  <c r="B39" i="8" s="1"/>
  <c r="AY12" i="8"/>
  <c r="AY40" i="8" s="1"/>
  <c r="AT12" i="8"/>
  <c r="AT40" i="8" s="1"/>
  <c r="AO12" i="8"/>
  <c r="AO40" i="8" s="1"/>
  <c r="AN12" i="8"/>
  <c r="AN40" i="8" s="1"/>
  <c r="AI12" i="8"/>
  <c r="AI40" i="8" s="1"/>
  <c r="AH12" i="8"/>
  <c r="AH40" i="8" s="1"/>
  <c r="AD12" i="8"/>
  <c r="AD40" i="8" s="1"/>
  <c r="AC12" i="8"/>
  <c r="AC40" i="8" s="1"/>
  <c r="Y12" i="8"/>
  <c r="Y40" i="8" s="1"/>
  <c r="X12" i="8"/>
  <c r="X40" i="8" s="1"/>
  <c r="T12" i="8"/>
  <c r="T40" i="8" s="1"/>
  <c r="S12" i="8"/>
  <c r="S40" i="8" s="1"/>
  <c r="O12" i="8"/>
  <c r="O40" i="8" s="1"/>
  <c r="N12" i="8"/>
  <c r="N40" i="8" s="1"/>
  <c r="J12" i="8"/>
  <c r="J40" i="8" s="1"/>
  <c r="I12" i="8"/>
  <c r="I40" i="8" s="1"/>
  <c r="E12" i="8"/>
  <c r="E40" i="8" s="1"/>
  <c r="D12" i="8"/>
  <c r="D40" i="8" s="1"/>
  <c r="C12" i="8"/>
  <c r="C40" i="8" s="1"/>
  <c r="B12" i="8"/>
  <c r="B40" i="8" s="1"/>
  <c r="AY11" i="8"/>
  <c r="AT11" i="8"/>
  <c r="AO11" i="8"/>
  <c r="AN11" i="8"/>
  <c r="AI11" i="8"/>
  <c r="AH11" i="8"/>
  <c r="AD11" i="8"/>
  <c r="AC11" i="8"/>
  <c r="Y11" i="8"/>
  <c r="X11" i="8"/>
  <c r="T11" i="8"/>
  <c r="S11" i="8"/>
  <c r="O11" i="8"/>
  <c r="N11" i="8"/>
  <c r="J11" i="8"/>
  <c r="I11" i="8"/>
  <c r="E11" i="8"/>
  <c r="D11" i="8"/>
  <c r="C11" i="8"/>
  <c r="B11" i="8"/>
  <c r="AY10" i="8"/>
  <c r="AY37" i="8" s="1"/>
  <c r="AT10" i="8"/>
  <c r="AT37" i="8" s="1"/>
  <c r="AO10" i="8"/>
  <c r="AO37" i="8" s="1"/>
  <c r="AN10" i="8"/>
  <c r="AN37" i="8" s="1"/>
  <c r="AI10" i="8"/>
  <c r="AI37" i="8" s="1"/>
  <c r="AH10" i="8"/>
  <c r="AH37" i="8" s="1"/>
  <c r="AD10" i="8"/>
  <c r="AD37" i="8" s="1"/>
  <c r="AC10" i="8"/>
  <c r="AC37" i="8" s="1"/>
  <c r="Y10" i="8"/>
  <c r="Y37" i="8" s="1"/>
  <c r="X10" i="8"/>
  <c r="X37" i="8" s="1"/>
  <c r="T10" i="8"/>
  <c r="T37" i="8" s="1"/>
  <c r="S10" i="8"/>
  <c r="S37" i="8" s="1"/>
  <c r="O10" i="8"/>
  <c r="O37" i="8" s="1"/>
  <c r="N10" i="8"/>
  <c r="N37" i="8" s="1"/>
  <c r="J10" i="8"/>
  <c r="J37" i="8" s="1"/>
  <c r="I10" i="8"/>
  <c r="I37" i="8" s="1"/>
  <c r="E10" i="8"/>
  <c r="E37" i="8" s="1"/>
  <c r="D10" i="8"/>
  <c r="D37" i="8" s="1"/>
  <c r="C10" i="8"/>
  <c r="C37" i="8" s="1"/>
  <c r="B10" i="8"/>
  <c r="B37" i="8" s="1"/>
  <c r="AY9" i="8"/>
  <c r="AY35" i="8" s="1"/>
  <c r="AT9" i="8"/>
  <c r="AT35" i="8" s="1"/>
  <c r="AO9" i="8"/>
  <c r="AO35" i="8" s="1"/>
  <c r="AN9" i="8"/>
  <c r="AN35" i="8" s="1"/>
  <c r="AI9" i="8"/>
  <c r="AI35" i="8" s="1"/>
  <c r="AH9" i="8"/>
  <c r="AH35" i="8" s="1"/>
  <c r="AD9" i="8"/>
  <c r="AD35" i="8" s="1"/>
  <c r="AC9" i="8"/>
  <c r="AC35" i="8" s="1"/>
  <c r="Y9" i="8"/>
  <c r="Y35" i="8" s="1"/>
  <c r="X9" i="8"/>
  <c r="X35" i="8" s="1"/>
  <c r="T9" i="8"/>
  <c r="T35" i="8" s="1"/>
  <c r="S9" i="8"/>
  <c r="S35" i="8" s="1"/>
  <c r="O9" i="8"/>
  <c r="O35" i="8" s="1"/>
  <c r="N9" i="8"/>
  <c r="N35" i="8" s="1"/>
  <c r="J9" i="8"/>
  <c r="J35" i="8" s="1"/>
  <c r="I9" i="8"/>
  <c r="I35" i="8" s="1"/>
  <c r="E9" i="8"/>
  <c r="E35" i="8" s="1"/>
  <c r="D9" i="8"/>
  <c r="D35" i="8" s="1"/>
  <c r="C9" i="8"/>
  <c r="C35" i="8" s="1"/>
  <c r="B9" i="8"/>
  <c r="B35" i="8" s="1"/>
  <c r="AY8" i="8"/>
  <c r="AT8" i="8"/>
  <c r="AO8" i="8"/>
  <c r="AN8" i="8"/>
  <c r="AI8" i="8"/>
  <c r="AH8" i="8"/>
  <c r="AD8" i="8"/>
  <c r="AC8" i="8"/>
  <c r="Y8" i="8"/>
  <c r="X8" i="8"/>
  <c r="T8" i="8"/>
  <c r="S8" i="8"/>
  <c r="O8" i="8"/>
  <c r="N8" i="8"/>
  <c r="J8" i="8"/>
  <c r="I8" i="8"/>
  <c r="E8" i="8"/>
  <c r="D8" i="8"/>
  <c r="C8" i="8"/>
  <c r="B8" i="8"/>
  <c r="AY7" i="8"/>
  <c r="AT7" i="8"/>
  <c r="AT6" i="8" s="1"/>
  <c r="AO7" i="8"/>
  <c r="AN7" i="8"/>
  <c r="AI7" i="8"/>
  <c r="AH7" i="8"/>
  <c r="AH6" i="8" s="1"/>
  <c r="AD7" i="8"/>
  <c r="AC7" i="8"/>
  <c r="Y7" i="8"/>
  <c r="X7" i="8"/>
  <c r="T7" i="8"/>
  <c r="S7" i="8"/>
  <c r="O7" i="8"/>
  <c r="N7" i="8"/>
  <c r="N6" i="8" s="1"/>
  <c r="J7" i="8"/>
  <c r="I7" i="8"/>
  <c r="E7" i="8"/>
  <c r="D7" i="8"/>
  <c r="D6" i="8" s="1"/>
  <c r="C7" i="8"/>
  <c r="B7" i="8"/>
  <c r="BA6" i="8"/>
  <c r="AZ6" i="8"/>
  <c r="AV6" i="8"/>
  <c r="AU6" i="8"/>
  <c r="X6" i="8" l="1"/>
  <c r="X28" i="8" s="1"/>
  <c r="AT23" i="8"/>
  <c r="AH23" i="8"/>
  <c r="AH28" i="8" s="1"/>
  <c r="D28" i="8"/>
  <c r="AT28" i="8"/>
  <c r="E33" i="8"/>
  <c r="Y33" i="8"/>
  <c r="AY33" i="8"/>
  <c r="O34" i="8"/>
  <c r="Y34" i="8"/>
  <c r="AI34" i="8"/>
  <c r="AY34" i="8"/>
  <c r="E41" i="8"/>
  <c r="O41" i="8"/>
  <c r="Y41" i="8"/>
  <c r="AI41" i="8"/>
  <c r="AY41" i="8"/>
  <c r="E38" i="8"/>
  <c r="O38" i="8"/>
  <c r="Y38" i="8"/>
  <c r="AI38" i="8"/>
  <c r="AY38" i="8"/>
  <c r="N28" i="8"/>
  <c r="O33" i="8"/>
  <c r="AI33" i="8"/>
  <c r="E34" i="8"/>
  <c r="E6" i="8"/>
  <c r="E28" i="8" s="1"/>
  <c r="Y6" i="8"/>
  <c r="Y28" i="8" s="1"/>
  <c r="B33" i="8"/>
  <c r="B6" i="8"/>
  <c r="B28" i="8" s="1"/>
  <c r="O6" i="8"/>
  <c r="O28" i="8" s="1"/>
  <c r="AI6" i="8"/>
  <c r="AI28" i="8" s="1"/>
  <c r="I33" i="8"/>
  <c r="S33" i="8"/>
  <c r="AC33" i="8"/>
  <c r="AN33" i="8"/>
  <c r="B34" i="8"/>
  <c r="I34" i="8"/>
  <c r="S34" i="8"/>
  <c r="AC34" i="8"/>
  <c r="AN34" i="8"/>
  <c r="B41" i="8"/>
  <c r="I41" i="8"/>
  <c r="S41" i="8"/>
  <c r="AC41" i="8"/>
  <c r="AN41" i="8"/>
  <c r="B38" i="8"/>
  <c r="I38" i="8"/>
  <c r="S38" i="8"/>
  <c r="AC38" i="8"/>
  <c r="AN38" i="8"/>
  <c r="I6" i="8"/>
  <c r="I28" i="8" s="1"/>
  <c r="S6" i="8"/>
  <c r="S28" i="8" s="1"/>
  <c r="AC6" i="8"/>
  <c r="AC28" i="8" s="1"/>
  <c r="AN6" i="8"/>
  <c r="AN28" i="8" s="1"/>
  <c r="C33" i="8"/>
  <c r="J33" i="8"/>
  <c r="T33" i="8"/>
  <c r="AD33" i="8"/>
  <c r="AO33" i="8"/>
  <c r="C34" i="8"/>
  <c r="J34" i="8"/>
  <c r="T34" i="8"/>
  <c r="AD34" i="8"/>
  <c r="AO34" i="8"/>
  <c r="C41" i="8"/>
  <c r="J41" i="8"/>
  <c r="T41" i="8"/>
  <c r="AD41" i="8"/>
  <c r="AO41" i="8"/>
  <c r="AS16" i="8"/>
  <c r="C38" i="8"/>
  <c r="J38" i="8"/>
  <c r="T38" i="8"/>
  <c r="AD38" i="8"/>
  <c r="AO38" i="8"/>
  <c r="C6" i="8"/>
  <c r="C28" i="8" s="1"/>
  <c r="J6" i="8"/>
  <c r="J28" i="8" s="1"/>
  <c r="T6" i="8"/>
  <c r="T28" i="8" s="1"/>
  <c r="AD6" i="8"/>
  <c r="AD28" i="8" s="1"/>
  <c r="AO6" i="8"/>
  <c r="AO28" i="8" s="1"/>
  <c r="D33" i="8"/>
  <c r="N33" i="8"/>
  <c r="X33" i="8"/>
  <c r="AH33" i="8"/>
  <c r="AT33" i="8"/>
  <c r="D34" i="8"/>
  <c r="N34" i="8"/>
  <c r="X34" i="8"/>
  <c r="AH34" i="8"/>
  <c r="AT34" i="8"/>
  <c r="D41" i="8"/>
  <c r="N41" i="8"/>
  <c r="X41" i="8"/>
  <c r="AH41" i="8"/>
  <c r="AT41" i="8"/>
  <c r="D38" i="8"/>
  <c r="N38" i="8"/>
  <c r="X38" i="8"/>
  <c r="AH38" i="8"/>
  <c r="AT38" i="8"/>
  <c r="AY6" i="8"/>
  <c r="AY28" i="8" s="1"/>
  <c r="F16" i="8"/>
  <c r="H16" i="8" s="1"/>
  <c r="P16" i="8"/>
  <c r="R16" i="8" s="1"/>
  <c r="F15" i="8"/>
  <c r="H15" i="8" s="1"/>
  <c r="P15" i="8"/>
  <c r="R15" i="8" s="1"/>
  <c r="Z15" i="8"/>
  <c r="AB15" i="8" s="1"/>
  <c r="AJ15" i="8"/>
  <c r="AM15" i="8" s="1"/>
  <c r="AP15" i="8"/>
  <c r="AS15" i="8" s="1"/>
  <c r="U16" i="8"/>
  <c r="V16" i="8" s="1"/>
  <c r="F18" i="8"/>
  <c r="F36" i="8" s="1"/>
  <c r="G36" i="8" s="1"/>
  <c r="Z18" i="8"/>
  <c r="Z36" i="8" s="1"/>
  <c r="AB36" i="8" s="1"/>
  <c r="AP18" i="8"/>
  <c r="AR18" i="8" s="1"/>
  <c r="F19" i="8"/>
  <c r="G19" i="8" s="1"/>
  <c r="P19" i="8"/>
  <c r="Z19" i="8"/>
  <c r="AA19" i="8" s="1"/>
  <c r="AJ19" i="8"/>
  <c r="AM19" i="8" s="1"/>
  <c r="AP19" i="8"/>
  <c r="AS19" i="8" s="1"/>
  <c r="P20" i="8"/>
  <c r="Q20" i="8" s="1"/>
  <c r="K16" i="8"/>
  <c r="M16" i="8" s="1"/>
  <c r="Z16" i="8"/>
  <c r="AB16" i="8" s="1"/>
  <c r="AE16" i="8"/>
  <c r="AG16" i="8" s="1"/>
  <c r="F17" i="8"/>
  <c r="H17" i="8" s="1"/>
  <c r="P17" i="8"/>
  <c r="Q17" i="8" s="1"/>
  <c r="Z17" i="8"/>
  <c r="AB17" i="8" s="1"/>
  <c r="AJ17" i="8"/>
  <c r="AM17" i="8" s="1"/>
  <c r="AP17" i="8"/>
  <c r="AS17" i="8" s="1"/>
  <c r="P18" i="8"/>
  <c r="P36" i="8" s="1"/>
  <c r="R36" i="8" s="1"/>
  <c r="AJ18" i="8"/>
  <c r="AJ36" i="8" s="1"/>
  <c r="AL36" i="8" s="1"/>
  <c r="F20" i="8"/>
  <c r="G20" i="8" s="1"/>
  <c r="Z20" i="8"/>
  <c r="AB20" i="8" s="1"/>
  <c r="F21" i="8"/>
  <c r="G21" i="8" s="1"/>
  <c r="K21" i="8"/>
  <c r="M21" i="8" s="1"/>
  <c r="P21" i="8"/>
  <c r="R21" i="8" s="1"/>
  <c r="U21" i="8"/>
  <c r="W21" i="8" s="1"/>
  <c r="Z21" i="8"/>
  <c r="AA21" i="8" s="1"/>
  <c r="AE21" i="8"/>
  <c r="AG21" i="8" s="1"/>
  <c r="AJ21" i="8"/>
  <c r="AL21" i="8" s="1"/>
  <c r="AP21" i="8"/>
  <c r="AS21" i="8" s="1"/>
  <c r="F22" i="8"/>
  <c r="H22" i="8" s="1"/>
  <c r="K22" i="8"/>
  <c r="M22" i="8" s="1"/>
  <c r="P22" i="8"/>
  <c r="Q22" i="8" s="1"/>
  <c r="U22" i="8"/>
  <c r="W22" i="8" s="1"/>
  <c r="Z22" i="8"/>
  <c r="AA22" i="8" s="1"/>
  <c r="AE22" i="8"/>
  <c r="AF22" i="8" s="1"/>
  <c r="AJ22" i="8"/>
  <c r="AM22" i="8" s="1"/>
  <c r="AP22" i="8"/>
  <c r="AS22" i="8" s="1"/>
  <c r="F24" i="8"/>
  <c r="H24" i="8" s="1"/>
  <c r="K24" i="8"/>
  <c r="L24" i="8" s="1"/>
  <c r="P24" i="8"/>
  <c r="Q24" i="8" s="1"/>
  <c r="U24" i="8"/>
  <c r="W24" i="8" s="1"/>
  <c r="Z24" i="8"/>
  <c r="AB24" i="8" s="1"/>
  <c r="AE24" i="8"/>
  <c r="AF24" i="8" s="1"/>
  <c r="AJ24" i="8"/>
  <c r="AM24" i="8" s="1"/>
  <c r="AP24" i="8"/>
  <c r="AS24" i="8" s="1"/>
  <c r="F25" i="8"/>
  <c r="G25" i="8" s="1"/>
  <c r="K25" i="8"/>
  <c r="M25" i="8" s="1"/>
  <c r="P25" i="8"/>
  <c r="R25" i="8" s="1"/>
  <c r="U25" i="8"/>
  <c r="W25" i="8" s="1"/>
  <c r="Z25" i="8"/>
  <c r="AB25" i="8" s="1"/>
  <c r="AE25" i="8"/>
  <c r="AG25" i="8" s="1"/>
  <c r="AJ25" i="8"/>
  <c r="AL25" i="8" s="1"/>
  <c r="AP25" i="8"/>
  <c r="AS25" i="8" s="1"/>
  <c r="F26" i="8"/>
  <c r="H26" i="8" s="1"/>
  <c r="K26" i="8"/>
  <c r="M26" i="8" s="1"/>
  <c r="P26" i="8"/>
  <c r="Q26" i="8" s="1"/>
  <c r="U26" i="8"/>
  <c r="W26" i="8" s="1"/>
  <c r="Z26" i="8"/>
  <c r="AA26" i="8" s="1"/>
  <c r="AE26" i="8"/>
  <c r="AG26" i="8" s="1"/>
  <c r="AJ26" i="8"/>
  <c r="AL26" i="8" s="1"/>
  <c r="AP26" i="8"/>
  <c r="AS26" i="8" s="1"/>
  <c r="F27" i="8"/>
  <c r="H27" i="8" s="1"/>
  <c r="K27" i="8"/>
  <c r="L27" i="8" s="1"/>
  <c r="P27" i="8"/>
  <c r="R27" i="8" s="1"/>
  <c r="U27" i="8"/>
  <c r="V27" i="8" s="1"/>
  <c r="Z27" i="8"/>
  <c r="AB27" i="8" s="1"/>
  <c r="AE27" i="8"/>
  <c r="AF27" i="8" s="1"/>
  <c r="AJ27" i="8"/>
  <c r="AL27" i="8" s="1"/>
  <c r="AP27" i="8"/>
  <c r="AS27" i="8" s="1"/>
  <c r="F55" i="7" s="1"/>
  <c r="AG15" i="8"/>
  <c r="AF15" i="8"/>
  <c r="AR16" i="8"/>
  <c r="AQ16" i="8"/>
  <c r="AG19" i="8"/>
  <c r="AF19" i="8"/>
  <c r="AF16" i="8"/>
  <c r="AG17" i="8"/>
  <c r="AF17" i="8"/>
  <c r="F7" i="8"/>
  <c r="P7" i="8"/>
  <c r="Z7" i="8"/>
  <c r="AJ7" i="8"/>
  <c r="AM7" i="8" s="1"/>
  <c r="AP7" i="8"/>
  <c r="AS7" i="8" s="1"/>
  <c r="K8" i="8"/>
  <c r="U8" i="8"/>
  <c r="AE8" i="8"/>
  <c r="F9" i="8"/>
  <c r="P9" i="8"/>
  <c r="Z9" i="8"/>
  <c r="AJ9" i="8"/>
  <c r="AP9" i="8"/>
  <c r="AS9" i="8" s="1"/>
  <c r="K10" i="8"/>
  <c r="U10" i="8"/>
  <c r="AE10" i="8"/>
  <c r="F11" i="8"/>
  <c r="P11" i="8"/>
  <c r="Z11" i="8"/>
  <c r="AJ11" i="8"/>
  <c r="AP11" i="8"/>
  <c r="AS11" i="8" s="1"/>
  <c r="K12" i="8"/>
  <c r="U12" i="8"/>
  <c r="AE12" i="8"/>
  <c r="F13" i="8"/>
  <c r="P13" i="8"/>
  <c r="Z13" i="8"/>
  <c r="AJ13" i="8"/>
  <c r="AP13" i="8"/>
  <c r="AS13" i="8" s="1"/>
  <c r="K18" i="8"/>
  <c r="U18" i="8"/>
  <c r="AE18" i="8"/>
  <c r="K20" i="8"/>
  <c r="U20" i="8"/>
  <c r="K7" i="8"/>
  <c r="U7" i="8"/>
  <c r="AE7" i="8"/>
  <c r="F8" i="8"/>
  <c r="P8" i="8"/>
  <c r="Z8" i="8"/>
  <c r="AJ8" i="8"/>
  <c r="AP8" i="8"/>
  <c r="AS8" i="8" s="1"/>
  <c r="K9" i="8"/>
  <c r="U9" i="8"/>
  <c r="AE9" i="8"/>
  <c r="F10" i="8"/>
  <c r="P10" i="8"/>
  <c r="Z10" i="8"/>
  <c r="AJ10" i="8"/>
  <c r="AP10" i="8"/>
  <c r="AS10" i="8" s="1"/>
  <c r="K11" i="8"/>
  <c r="U11" i="8"/>
  <c r="AE11" i="8"/>
  <c r="F12" i="8"/>
  <c r="P12" i="8"/>
  <c r="Z12" i="8"/>
  <c r="AJ12" i="8"/>
  <c r="AP12" i="8"/>
  <c r="AS12" i="8" s="1"/>
  <c r="F52" i="7" s="1"/>
  <c r="I11" i="11" s="1"/>
  <c r="K13" i="8"/>
  <c r="U13" i="8"/>
  <c r="AE13" i="8"/>
  <c r="K15" i="8"/>
  <c r="U15" i="8"/>
  <c r="AJ16" i="8"/>
  <c r="K17" i="8"/>
  <c r="U17" i="8"/>
  <c r="K19" i="8"/>
  <c r="U19" i="8"/>
  <c r="AE20" i="8"/>
  <c r="AJ20" i="8"/>
  <c r="AP20" i="8"/>
  <c r="H25" i="8" l="1"/>
  <c r="AG22" i="8"/>
  <c r="AB22" i="8"/>
  <c r="L16" i="8"/>
  <c r="M27" i="8"/>
  <c r="AG24" i="8"/>
  <c r="AK36" i="8"/>
  <c r="F23" i="8"/>
  <c r="G23" i="8" s="1"/>
  <c r="G22" i="8"/>
  <c r="AB18" i="8"/>
  <c r="AB19" i="8"/>
  <c r="G26" i="8"/>
  <c r="G24" i="8"/>
  <c r="Q36" i="8"/>
  <c r="AL15" i="8"/>
  <c r="AI42" i="8"/>
  <c r="E42" i="8"/>
  <c r="O42" i="8"/>
  <c r="Y42" i="8"/>
  <c r="AR15" i="8"/>
  <c r="AY42" i="8"/>
  <c r="E3" i="9"/>
  <c r="I5" i="11"/>
  <c r="AP23" i="8"/>
  <c r="AR23" i="8" s="1"/>
  <c r="Z38" i="8"/>
  <c r="AB38" i="8" s="1"/>
  <c r="AR27" i="8"/>
  <c r="H20" i="8"/>
  <c r="AK17" i="8"/>
  <c r="W27" i="8"/>
  <c r="Q25" i="8"/>
  <c r="L22" i="8"/>
  <c r="AG27" i="8"/>
  <c r="M24" i="8"/>
  <c r="AF21" i="8"/>
  <c r="AM18" i="8"/>
  <c r="AK19" i="8"/>
  <c r="AF26" i="8"/>
  <c r="AL18" i="8"/>
  <c r="N52" i="7"/>
  <c r="E27" i="9"/>
  <c r="G15" i="8"/>
  <c r="AQ18" i="8"/>
  <c r="AA17" i="8"/>
  <c r="AQ15" i="8"/>
  <c r="AA16" i="8"/>
  <c r="R26" i="8"/>
  <c r="AK25" i="8"/>
  <c r="AL24" i="8"/>
  <c r="Q21" i="8"/>
  <c r="AM25" i="8"/>
  <c r="L25" i="8"/>
  <c r="L21" i="8"/>
  <c r="AM36" i="8"/>
  <c r="AQ19" i="8"/>
  <c r="H19" i="8"/>
  <c r="W16" i="8"/>
  <c r="AK27" i="8"/>
  <c r="Q27" i="8"/>
  <c r="AM26" i="8"/>
  <c r="L26" i="8"/>
  <c r="AF25" i="8"/>
  <c r="AL22" i="8"/>
  <c r="R22" i="8"/>
  <c r="AK21" i="8"/>
  <c r="AL17" i="8"/>
  <c r="AL19" i="8"/>
  <c r="Q15" i="8"/>
  <c r="Z23" i="8"/>
  <c r="AB23" i="8" s="1"/>
  <c r="X42" i="8"/>
  <c r="AN42" i="8"/>
  <c r="AO42" i="8"/>
  <c r="C42" i="8"/>
  <c r="G27" i="8"/>
  <c r="AA25" i="8"/>
  <c r="AA24" i="8"/>
  <c r="AB21" i="8"/>
  <c r="AA36" i="8"/>
  <c r="AA18" i="8"/>
  <c r="R17" i="8"/>
  <c r="AK15" i="8"/>
  <c r="F14" i="8"/>
  <c r="H14" i="8" s="1"/>
  <c r="P14" i="8"/>
  <c r="Q14" i="8" s="1"/>
  <c r="N42" i="8"/>
  <c r="AD42" i="8"/>
  <c r="AC42" i="8"/>
  <c r="AA27" i="8"/>
  <c r="AB26" i="8"/>
  <c r="V24" i="8"/>
  <c r="AQ22" i="8"/>
  <c r="H21" i="8"/>
  <c r="H36" i="8"/>
  <c r="Q16" i="8"/>
  <c r="AJ23" i="8"/>
  <c r="AM23" i="8" s="1"/>
  <c r="P23" i="8"/>
  <c r="R23" i="8" s="1"/>
  <c r="AT42" i="8"/>
  <c r="D42" i="8"/>
  <c r="T42" i="8"/>
  <c r="S42" i="8"/>
  <c r="AM27" i="8"/>
  <c r="AK26" i="8"/>
  <c r="V25" i="8"/>
  <c r="AK24" i="8"/>
  <c r="R24" i="8"/>
  <c r="AK22" i="8"/>
  <c r="AM21" i="8"/>
  <c r="R18" i="8"/>
  <c r="Q18" i="8"/>
  <c r="G16" i="8"/>
  <c r="G17" i="8"/>
  <c r="AE23" i="8"/>
  <c r="AG23" i="8" s="1"/>
  <c r="K23" i="8"/>
  <c r="M23" i="8" s="1"/>
  <c r="AH42" i="8"/>
  <c r="J42" i="8"/>
  <c r="I42" i="8"/>
  <c r="B42" i="8"/>
  <c r="F24" i="7"/>
  <c r="AS23" i="8"/>
  <c r="AQ24" i="8"/>
  <c r="U23" i="8"/>
  <c r="W23" i="8" s="1"/>
  <c r="AR22" i="8"/>
  <c r="AR21" i="8"/>
  <c r="R20" i="8"/>
  <c r="AQ26" i="8"/>
  <c r="V26" i="8"/>
  <c r="AQ25" i="8"/>
  <c r="V22" i="8"/>
  <c r="AQ21" i="8"/>
  <c r="V21" i="8"/>
  <c r="AA20" i="8"/>
  <c r="H18" i="8"/>
  <c r="AR17" i="8"/>
  <c r="R19" i="8"/>
  <c r="Z14" i="8"/>
  <c r="AA14" i="8" s="1"/>
  <c r="AP36" i="8"/>
  <c r="AS18" i="8"/>
  <c r="F37" i="7" s="1"/>
  <c r="I10" i="11" s="1"/>
  <c r="AQ27" i="8"/>
  <c r="AR25" i="8"/>
  <c r="AR24" i="8"/>
  <c r="AK18" i="8"/>
  <c r="AQ17" i="8"/>
  <c r="AR19" i="8"/>
  <c r="Q19" i="8"/>
  <c r="AA15" i="8"/>
  <c r="AP14" i="8"/>
  <c r="AR14" i="8" s="1"/>
  <c r="AS20" i="8"/>
  <c r="AR26" i="8"/>
  <c r="G18" i="8"/>
  <c r="AS6" i="8"/>
  <c r="F38" i="8"/>
  <c r="P38" i="8"/>
  <c r="AE38" i="8"/>
  <c r="AF20" i="8"/>
  <c r="AG20" i="8"/>
  <c r="AJ38" i="8"/>
  <c r="AL20" i="8"/>
  <c r="AM20" i="8"/>
  <c r="AK20" i="8"/>
  <c r="Q23" i="8"/>
  <c r="W19" i="8"/>
  <c r="V19" i="8"/>
  <c r="W17" i="8"/>
  <c r="V17" i="8"/>
  <c r="AL16" i="8"/>
  <c r="AM16" i="8"/>
  <c r="AK16" i="8"/>
  <c r="M15" i="8"/>
  <c r="L15" i="8"/>
  <c r="K14" i="8"/>
  <c r="U39" i="8"/>
  <c r="W13" i="8"/>
  <c r="V13" i="8"/>
  <c r="AP40" i="8"/>
  <c r="AR12" i="8"/>
  <c r="AQ12" i="8"/>
  <c r="Z40" i="8"/>
  <c r="AB12" i="8"/>
  <c r="AA12" i="8"/>
  <c r="F40" i="8"/>
  <c r="H12" i="8"/>
  <c r="G12" i="8"/>
  <c r="U41" i="8"/>
  <c r="W11" i="8"/>
  <c r="V11" i="8"/>
  <c r="AP37" i="8"/>
  <c r="AR10" i="8"/>
  <c r="AQ10" i="8"/>
  <c r="Z37" i="8"/>
  <c r="AB10" i="8"/>
  <c r="AA10" i="8"/>
  <c r="F37" i="8"/>
  <c r="H10" i="8"/>
  <c r="G10" i="8"/>
  <c r="U35" i="8"/>
  <c r="W9" i="8"/>
  <c r="V9" i="8"/>
  <c r="AP34" i="8"/>
  <c r="AR8" i="8"/>
  <c r="AQ8" i="8"/>
  <c r="Z34" i="8"/>
  <c r="AB8" i="8"/>
  <c r="AA8" i="8"/>
  <c r="F34" i="8"/>
  <c r="H8" i="8"/>
  <c r="G8" i="8"/>
  <c r="U33" i="8"/>
  <c r="W7" i="8"/>
  <c r="V7" i="8"/>
  <c r="U6" i="8"/>
  <c r="U38" i="8"/>
  <c r="V20" i="8"/>
  <c r="W20" i="8"/>
  <c r="K38" i="8"/>
  <c r="L20" i="8"/>
  <c r="M20" i="8"/>
  <c r="AP39" i="8"/>
  <c r="AQ13" i="8"/>
  <c r="AR13" i="8"/>
  <c r="Z39" i="8"/>
  <c r="AA13" i="8"/>
  <c r="AB13" i="8"/>
  <c r="F39" i="8"/>
  <c r="G13" i="8"/>
  <c r="H13" i="8"/>
  <c r="U40" i="8"/>
  <c r="V12" i="8"/>
  <c r="W12" i="8"/>
  <c r="AP41" i="8"/>
  <c r="AQ11" i="8"/>
  <c r="AR11" i="8"/>
  <c r="Z41" i="8"/>
  <c r="AA11" i="8"/>
  <c r="AB11" i="8"/>
  <c r="F41" i="8"/>
  <c r="G11" i="8"/>
  <c r="H11" i="8"/>
  <c r="U37" i="8"/>
  <c r="V10" i="8"/>
  <c r="W10" i="8"/>
  <c r="AP35" i="8"/>
  <c r="AQ9" i="8"/>
  <c r="AR9" i="8"/>
  <c r="Z35" i="8"/>
  <c r="AA9" i="8"/>
  <c r="AB9" i="8"/>
  <c r="F35" i="8"/>
  <c r="G9" i="8"/>
  <c r="F6" i="8"/>
  <c r="H9" i="8"/>
  <c r="U34" i="8"/>
  <c r="V8" i="8"/>
  <c r="W8" i="8"/>
  <c r="AP33" i="8"/>
  <c r="AQ7" i="8"/>
  <c r="AP6" i="8"/>
  <c r="AR7" i="8"/>
  <c r="Z33" i="8"/>
  <c r="AA7" i="8"/>
  <c r="Z6" i="8"/>
  <c r="AB7" i="8"/>
  <c r="F33" i="8"/>
  <c r="G7" i="8"/>
  <c r="H7" i="8"/>
  <c r="AP38" i="8"/>
  <c r="AR20" i="8"/>
  <c r="AQ20" i="8"/>
  <c r="M19" i="8"/>
  <c r="L19" i="8"/>
  <c r="M17" i="8"/>
  <c r="L17" i="8"/>
  <c r="W15" i="8"/>
  <c r="V15" i="8"/>
  <c r="U14" i="8"/>
  <c r="AE39" i="8"/>
  <c r="AG13" i="8"/>
  <c r="AF13" i="8"/>
  <c r="K39" i="8"/>
  <c r="M13" i="8"/>
  <c r="L13" i="8"/>
  <c r="AJ40" i="8"/>
  <c r="AL12" i="8"/>
  <c r="AM12" i="8"/>
  <c r="AK12" i="8"/>
  <c r="P40" i="8"/>
  <c r="R12" i="8"/>
  <c r="Q12" i="8"/>
  <c r="AE41" i="8"/>
  <c r="AG11" i="8"/>
  <c r="AF11" i="8"/>
  <c r="K41" i="8"/>
  <c r="M11" i="8"/>
  <c r="L11" i="8"/>
  <c r="AJ37" i="8"/>
  <c r="AL10" i="8"/>
  <c r="AM10" i="8"/>
  <c r="AK10" i="8"/>
  <c r="P37" i="8"/>
  <c r="R10" i="8"/>
  <c r="Q10" i="8"/>
  <c r="AE35" i="8"/>
  <c r="AG9" i="8"/>
  <c r="AF9" i="8"/>
  <c r="K35" i="8"/>
  <c r="M9" i="8"/>
  <c r="L9" i="8"/>
  <c r="AJ34" i="8"/>
  <c r="AL8" i="8"/>
  <c r="AM8" i="8"/>
  <c r="AK8" i="8"/>
  <c r="P34" i="8"/>
  <c r="R8" i="8"/>
  <c r="Q8" i="8"/>
  <c r="AE33" i="8"/>
  <c r="AG7" i="8"/>
  <c r="AF7" i="8"/>
  <c r="AE6" i="8"/>
  <c r="K33" i="8"/>
  <c r="M7" i="8"/>
  <c r="L7" i="8"/>
  <c r="K6" i="8"/>
  <c r="AE36" i="8"/>
  <c r="AF18" i="8"/>
  <c r="AG18" i="8"/>
  <c r="U36" i="8"/>
  <c r="V18" i="8"/>
  <c r="W18" i="8"/>
  <c r="K36" i="8"/>
  <c r="L18" i="8"/>
  <c r="M18" i="8"/>
  <c r="AJ39" i="8"/>
  <c r="AM13" i="8"/>
  <c r="AK13" i="8"/>
  <c r="AL13" i="8"/>
  <c r="P39" i="8"/>
  <c r="Q13" i="8"/>
  <c r="R13" i="8"/>
  <c r="AE40" i="8"/>
  <c r="AF12" i="8"/>
  <c r="AG12" i="8"/>
  <c r="K40" i="8"/>
  <c r="L12" i="8"/>
  <c r="M12" i="8"/>
  <c r="AJ41" i="8"/>
  <c r="AM11" i="8"/>
  <c r="AK11" i="8"/>
  <c r="AL11" i="8"/>
  <c r="P41" i="8"/>
  <c r="Q11" i="8"/>
  <c r="R11" i="8"/>
  <c r="AE37" i="8"/>
  <c r="AF10" i="8"/>
  <c r="AG10" i="8"/>
  <c r="K37" i="8"/>
  <c r="L10" i="8"/>
  <c r="M10" i="8"/>
  <c r="AJ35" i="8"/>
  <c r="AM9" i="8"/>
  <c r="AK9" i="8"/>
  <c r="AL9" i="8"/>
  <c r="P35" i="8"/>
  <c r="Q9" i="8"/>
  <c r="R9" i="8"/>
  <c r="AE34" i="8"/>
  <c r="AF8" i="8"/>
  <c r="AG8" i="8"/>
  <c r="K34" i="8"/>
  <c r="L8" i="8"/>
  <c r="M8" i="8"/>
  <c r="AJ33" i="8"/>
  <c r="AK7" i="8"/>
  <c r="AJ6" i="8"/>
  <c r="AL7" i="8"/>
  <c r="P33" i="8"/>
  <c r="Q7" i="8"/>
  <c r="P6" i="8"/>
  <c r="R7" i="8"/>
  <c r="AJ14" i="8"/>
  <c r="AE14" i="8"/>
  <c r="AA38" i="8" l="1"/>
  <c r="AA23" i="8"/>
  <c r="H23" i="8"/>
  <c r="AQ23" i="8"/>
  <c r="E7" i="9"/>
  <c r="I8" i="11"/>
  <c r="I12" i="11" s="1"/>
  <c r="R14" i="8"/>
  <c r="F27" i="9"/>
  <c r="J11" i="11"/>
  <c r="K11" i="11" s="1"/>
  <c r="AL23" i="8"/>
  <c r="N37" i="7"/>
  <c r="E23" i="9"/>
  <c r="AK23" i="8"/>
  <c r="AQ14" i="8"/>
  <c r="G14" i="8"/>
  <c r="AB14" i="8"/>
  <c r="L23" i="8"/>
  <c r="V23" i="8"/>
  <c r="AR36" i="8"/>
  <c r="AQ36" i="8"/>
  <c r="AP28" i="8"/>
  <c r="AQ28" i="8" s="1"/>
  <c r="AS14" i="8"/>
  <c r="F15" i="7"/>
  <c r="F23" i="7" s="1"/>
  <c r="Q38" i="8"/>
  <c r="R38" i="8"/>
  <c r="H38" i="8"/>
  <c r="G38" i="8"/>
  <c r="AL14" i="8"/>
  <c r="AM14" i="8"/>
  <c r="AK14" i="8"/>
  <c r="P28" i="8"/>
  <c r="R6" i="8"/>
  <c r="Q6" i="8"/>
  <c r="P42" i="8"/>
  <c r="R33" i="8"/>
  <c r="Q33" i="8"/>
  <c r="AJ28" i="8"/>
  <c r="AL6" i="8"/>
  <c r="AM6" i="8"/>
  <c r="AK6" i="8"/>
  <c r="M34" i="8"/>
  <c r="L34" i="8"/>
  <c r="R35" i="8"/>
  <c r="Q35" i="8"/>
  <c r="AM35" i="8"/>
  <c r="AK35" i="8"/>
  <c r="AL35" i="8"/>
  <c r="AG37" i="8"/>
  <c r="AF37" i="8"/>
  <c r="L40" i="8"/>
  <c r="M40" i="8"/>
  <c r="Q39" i="8"/>
  <c r="R39" i="8"/>
  <c r="AM39" i="8"/>
  <c r="AK39" i="8"/>
  <c r="AL39" i="8"/>
  <c r="V36" i="8"/>
  <c r="W36" i="8"/>
  <c r="K28" i="8"/>
  <c r="L6" i="8"/>
  <c r="M6" i="8"/>
  <c r="AE28" i="8"/>
  <c r="AF6" i="8"/>
  <c r="AG6" i="8"/>
  <c r="Q34" i="8"/>
  <c r="R34" i="8"/>
  <c r="AM34" i="8"/>
  <c r="AK34" i="8"/>
  <c r="AL34" i="8"/>
  <c r="AG35" i="8"/>
  <c r="AF35" i="8"/>
  <c r="M41" i="8"/>
  <c r="L41" i="8"/>
  <c r="R40" i="8"/>
  <c r="Q40" i="8"/>
  <c r="AL40" i="8"/>
  <c r="AM40" i="8"/>
  <c r="AK40" i="8"/>
  <c r="AG39" i="8"/>
  <c r="AF39" i="8"/>
  <c r="F42" i="8"/>
  <c r="H33" i="8"/>
  <c r="G33" i="8"/>
  <c r="Z28" i="8"/>
  <c r="AB6" i="8"/>
  <c r="AA6" i="8"/>
  <c r="Z42" i="8"/>
  <c r="AB33" i="8"/>
  <c r="AA33" i="8"/>
  <c r="AR6" i="8"/>
  <c r="AQ6" i="8"/>
  <c r="AP42" i="8"/>
  <c r="AR33" i="8"/>
  <c r="AQ33" i="8"/>
  <c r="AA35" i="8"/>
  <c r="AB35" i="8"/>
  <c r="W37" i="8"/>
  <c r="V37" i="8"/>
  <c r="AA41" i="8"/>
  <c r="AB41" i="8"/>
  <c r="V40" i="8"/>
  <c r="W40" i="8"/>
  <c r="AA39" i="8"/>
  <c r="AB39" i="8"/>
  <c r="L38" i="8"/>
  <c r="M38" i="8"/>
  <c r="U28" i="8"/>
  <c r="V6" i="8"/>
  <c r="W6" i="8"/>
  <c r="G34" i="8"/>
  <c r="H34" i="8"/>
  <c r="AQ34" i="8"/>
  <c r="AR34" i="8"/>
  <c r="G37" i="8"/>
  <c r="H37" i="8"/>
  <c r="AQ37" i="8"/>
  <c r="AR37" i="8"/>
  <c r="H40" i="8"/>
  <c r="G40" i="8"/>
  <c r="AR40" i="8"/>
  <c r="AQ40" i="8"/>
  <c r="L14" i="8"/>
  <c r="M14" i="8"/>
  <c r="AL38" i="8"/>
  <c r="AM38" i="8"/>
  <c r="AK38" i="8"/>
  <c r="AF14" i="8"/>
  <c r="AG14" i="8"/>
  <c r="AJ42" i="8"/>
  <c r="AL33" i="8"/>
  <c r="AM33" i="8"/>
  <c r="AK33" i="8"/>
  <c r="AG34" i="8"/>
  <c r="AF34" i="8"/>
  <c r="M37" i="8"/>
  <c r="L37" i="8"/>
  <c r="Q41" i="8"/>
  <c r="R41" i="8"/>
  <c r="AM41" i="8"/>
  <c r="AK41" i="8"/>
  <c r="AL41" i="8"/>
  <c r="AF40" i="8"/>
  <c r="AG40" i="8"/>
  <c r="L36" i="8"/>
  <c r="M36" i="8"/>
  <c r="AF36" i="8"/>
  <c r="AG36" i="8"/>
  <c r="K42" i="8"/>
  <c r="L33" i="8"/>
  <c r="M33" i="8"/>
  <c r="AE42" i="8"/>
  <c r="AF33" i="8"/>
  <c r="AG33" i="8"/>
  <c r="L35" i="8"/>
  <c r="M35" i="8"/>
  <c r="Q37" i="8"/>
  <c r="R37" i="8"/>
  <c r="AM37" i="8"/>
  <c r="AK37" i="8"/>
  <c r="AL37" i="8"/>
  <c r="AG41" i="8"/>
  <c r="AF41" i="8"/>
  <c r="M39" i="8"/>
  <c r="L39" i="8"/>
  <c r="V14" i="8"/>
  <c r="W14" i="8"/>
  <c r="AR38" i="8"/>
  <c r="AQ38" i="8"/>
  <c r="W34" i="8"/>
  <c r="V34" i="8"/>
  <c r="F28" i="8"/>
  <c r="H6" i="8"/>
  <c r="G6" i="8"/>
  <c r="H35" i="8"/>
  <c r="G35" i="8"/>
  <c r="AQ35" i="8"/>
  <c r="AR35" i="8"/>
  <c r="G41" i="8"/>
  <c r="H41" i="8"/>
  <c r="AQ41" i="8"/>
  <c r="AR41" i="8"/>
  <c r="G39" i="8"/>
  <c r="H39" i="8"/>
  <c r="AQ39" i="8"/>
  <c r="AR39" i="8"/>
  <c r="V38" i="8"/>
  <c r="W38" i="8"/>
  <c r="U42" i="8"/>
  <c r="V33" i="8"/>
  <c r="W33" i="8"/>
  <c r="AA34" i="8"/>
  <c r="AB34" i="8"/>
  <c r="W35" i="8"/>
  <c r="V35" i="8"/>
  <c r="AA37" i="8"/>
  <c r="AB37" i="8"/>
  <c r="W41" i="8"/>
  <c r="V41" i="8"/>
  <c r="AB40" i="8"/>
  <c r="AA40" i="8"/>
  <c r="W39" i="8"/>
  <c r="V39" i="8"/>
  <c r="AF38" i="8"/>
  <c r="AG38" i="8"/>
  <c r="E31" i="9" l="1"/>
  <c r="AR28" i="8"/>
  <c r="F23" i="9"/>
  <c r="J10" i="11"/>
  <c r="K10" i="11" s="1"/>
  <c r="G28" i="8"/>
  <c r="H28" i="8"/>
  <c r="AF42" i="8"/>
  <c r="AG42" i="8"/>
  <c r="AL42" i="8"/>
  <c r="AM42" i="8"/>
  <c r="AK42" i="8"/>
  <c r="W28" i="8"/>
  <c r="V28" i="8"/>
  <c r="AB42" i="8"/>
  <c r="AA42" i="8"/>
  <c r="H42" i="8"/>
  <c r="G42" i="8"/>
  <c r="M28" i="8"/>
  <c r="L28" i="8"/>
  <c r="AM28" i="8"/>
  <c r="AK28" i="8"/>
  <c r="AL28" i="8"/>
  <c r="Q28" i="8"/>
  <c r="R28" i="8"/>
  <c r="V42" i="8"/>
  <c r="W42" i="8"/>
  <c r="L42" i="8"/>
  <c r="M42" i="8"/>
  <c r="AR42" i="8"/>
  <c r="AQ42" i="8"/>
  <c r="AA28" i="8"/>
  <c r="AB28" i="8"/>
  <c r="AG28" i="8"/>
  <c r="AF28" i="8"/>
  <c r="R42" i="8"/>
  <c r="Q42" i="8"/>
  <c r="J47" i="7" l="1"/>
  <c r="J30" i="7"/>
  <c r="L64" i="7"/>
  <c r="M64" i="7" s="1"/>
  <c r="L63" i="7"/>
  <c r="M63" i="7" s="1"/>
  <c r="L54" i="7"/>
  <c r="M54" i="7" s="1"/>
  <c r="L53" i="7"/>
  <c r="M53" i="7" s="1"/>
  <c r="L49" i="7"/>
  <c r="L48" i="7"/>
  <c r="L46" i="7"/>
  <c r="L45" i="7"/>
  <c r="M45" i="7" s="1"/>
  <c r="L44" i="7"/>
  <c r="M44" i="7" s="1"/>
  <c r="L43" i="7"/>
  <c r="M43" i="7" s="1"/>
  <c r="L42" i="7"/>
  <c r="L41" i="7"/>
  <c r="L39" i="7"/>
  <c r="M39" i="7" s="1"/>
  <c r="L38" i="7"/>
  <c r="L32" i="7"/>
  <c r="L33" i="7"/>
  <c r="L34" i="7"/>
  <c r="L35" i="7"/>
  <c r="L36" i="7"/>
  <c r="L31" i="7"/>
  <c r="L26" i="7"/>
  <c r="L27" i="7"/>
  <c r="L28" i="7"/>
  <c r="M28" i="7" s="1"/>
  <c r="M24" i="7" s="1"/>
  <c r="L29" i="7"/>
  <c r="L25" i="7"/>
  <c r="J22" i="7"/>
  <c r="J21" i="7"/>
  <c r="J19" i="7"/>
  <c r="J18" i="7"/>
  <c r="J17" i="7"/>
  <c r="J55" i="7"/>
  <c r="J52" i="7"/>
  <c r="J24" i="7"/>
  <c r="J40" i="7"/>
  <c r="J37" i="7"/>
  <c r="K37" i="7"/>
  <c r="K52" i="7"/>
  <c r="H8" i="11" l="1"/>
  <c r="D7" i="9"/>
  <c r="M48" i="7"/>
  <c r="L47" i="7"/>
  <c r="L37" i="7"/>
  <c r="M38" i="7"/>
  <c r="N24" i="7"/>
  <c r="L22" i="7"/>
  <c r="L30" i="7"/>
  <c r="L52" i="7"/>
  <c r="L24" i="7"/>
  <c r="J15" i="7"/>
  <c r="J23" i="7" s="1"/>
  <c r="L19" i="7"/>
  <c r="L55" i="7"/>
  <c r="L40" i="7"/>
  <c r="L17" i="7"/>
  <c r="L18" i="7"/>
  <c r="L21" i="7"/>
  <c r="F7" i="9" l="1"/>
  <c r="J8" i="11"/>
  <c r="K8" i="11" s="1"/>
  <c r="M47" i="7"/>
  <c r="L15" i="7"/>
  <c r="L23" i="7" s="1"/>
  <c r="N47" i="7" l="1"/>
  <c r="H7" i="11"/>
  <c r="D11" i="9"/>
  <c r="T52" i="7"/>
  <c r="S52" i="7"/>
  <c r="O52" i="7"/>
  <c r="I52" i="7"/>
  <c r="H52" i="7"/>
  <c r="E52" i="7"/>
  <c r="K55" i="7"/>
  <c r="K47" i="7"/>
  <c r="K40" i="7"/>
  <c r="K30" i="7"/>
  <c r="K24" i="7"/>
  <c r="K22" i="7"/>
  <c r="K21" i="7"/>
  <c r="K19" i="7"/>
  <c r="K18" i="7"/>
  <c r="K17" i="7"/>
  <c r="O19" i="7"/>
  <c r="O22" i="7"/>
  <c r="O24" i="7"/>
  <c r="O31" i="7"/>
  <c r="O17" i="7" s="1"/>
  <c r="O21" i="7" s="1"/>
  <c r="O37" i="7"/>
  <c r="O40" i="7"/>
  <c r="J10" i="10" l="1"/>
  <c r="B11" i="11"/>
  <c r="B27" i="9"/>
  <c r="J7" i="11"/>
  <c r="K7" i="11" s="1"/>
  <c r="F11" i="9"/>
  <c r="C11" i="11"/>
  <c r="C28" i="9"/>
  <c r="K15" i="7"/>
  <c r="O30" i="7"/>
  <c r="K23" i="7" l="1"/>
  <c r="U39" i="7"/>
  <c r="G15" i="7" l="1"/>
  <c r="G23" i="7" s="1"/>
  <c r="U43" i="7" l="1"/>
  <c r="U53" i="7" l="1"/>
  <c r="M55" i="7" l="1"/>
  <c r="M31" i="7"/>
  <c r="M30" i="7" s="1"/>
  <c r="N30" i="7" l="1"/>
  <c r="H6" i="11"/>
  <c r="D15" i="9"/>
  <c r="H5" i="11"/>
  <c r="D3" i="9"/>
  <c r="O55" i="7"/>
  <c r="O15" i="7" s="1"/>
  <c r="O23" i="7" s="1"/>
  <c r="O18" i="7"/>
  <c r="N55" i="7"/>
  <c r="J5" i="11" s="1"/>
  <c r="M15" i="7"/>
  <c r="U38" i="7"/>
  <c r="H12" i="11" l="1"/>
  <c r="D31" i="9"/>
  <c r="J6" i="11"/>
  <c r="K6" i="11" s="1"/>
  <c r="F15" i="9"/>
  <c r="K5" i="11"/>
  <c r="N15" i="7"/>
  <c r="F3" i="9"/>
  <c r="U59" i="7"/>
  <c r="U57" i="7"/>
  <c r="U62" i="7"/>
  <c r="U64" i="7"/>
  <c r="U56" i="7"/>
  <c r="U58" i="7"/>
  <c r="U54" i="7"/>
  <c r="U52" i="7" s="1"/>
  <c r="U49" i="7"/>
  <c r="U48" i="7"/>
  <c r="U46" i="7"/>
  <c r="U42" i="7"/>
  <c r="U44" i="7"/>
  <c r="U45" i="7"/>
  <c r="U41" i="7"/>
  <c r="U32" i="7"/>
  <c r="U33" i="7"/>
  <c r="U35" i="7"/>
  <c r="U36" i="7"/>
  <c r="U31" i="7"/>
  <c r="U26" i="7"/>
  <c r="U27" i="7"/>
  <c r="U28" i="7"/>
  <c r="U29" i="7"/>
  <c r="U25" i="7"/>
  <c r="U18" i="7" l="1"/>
  <c r="F31" i="9"/>
  <c r="J12" i="11"/>
  <c r="K12" i="11" s="1"/>
  <c r="H22" i="7"/>
  <c r="H21" i="7"/>
  <c r="H19" i="7"/>
  <c r="H18" i="7"/>
  <c r="H17" i="7"/>
  <c r="T22" i="7" l="1"/>
  <c r="S22" i="7"/>
  <c r="I22" i="7"/>
  <c r="T19" i="7"/>
  <c r="S19" i="7"/>
  <c r="I19" i="7"/>
  <c r="T18" i="7"/>
  <c r="S18" i="7"/>
  <c r="I18" i="7"/>
  <c r="U22" i="7" l="1"/>
  <c r="U55" i="7"/>
  <c r="T55" i="7"/>
  <c r="S55" i="7"/>
  <c r="I55" i="7"/>
  <c r="H55" i="7"/>
  <c r="T47" i="7"/>
  <c r="S47" i="7"/>
  <c r="U40" i="7"/>
  <c r="T40" i="7"/>
  <c r="S40" i="7"/>
  <c r="I40" i="7"/>
  <c r="H40" i="7"/>
  <c r="U37" i="7"/>
  <c r="T37" i="7"/>
  <c r="S37" i="7"/>
  <c r="I37" i="7"/>
  <c r="H37" i="7"/>
  <c r="U30" i="7"/>
  <c r="T30" i="7"/>
  <c r="S30" i="7"/>
  <c r="I30" i="7"/>
  <c r="H30" i="7"/>
  <c r="U24" i="7"/>
  <c r="T24" i="7"/>
  <c r="S24" i="7"/>
  <c r="I24" i="7"/>
  <c r="H24" i="7"/>
  <c r="C20" i="9" l="1"/>
  <c r="C9" i="11"/>
  <c r="C8" i="9"/>
  <c r="C8" i="11"/>
  <c r="C6" i="11"/>
  <c r="C16" i="9"/>
  <c r="C10" i="11"/>
  <c r="C24" i="9"/>
  <c r="C5" i="11"/>
  <c r="C4" i="9"/>
  <c r="E19" i="7"/>
  <c r="C12" i="11" l="1"/>
  <c r="C31" i="9"/>
  <c r="E18" i="7"/>
  <c r="E22" i="7"/>
  <c r="U17" i="7"/>
  <c r="T17" i="7"/>
  <c r="S17" i="7"/>
  <c r="I17" i="7"/>
  <c r="E17" i="7"/>
  <c r="U21" i="7"/>
  <c r="T21" i="7"/>
  <c r="S21" i="7"/>
  <c r="I21" i="7"/>
  <c r="T15" i="7"/>
  <c r="S15" i="7"/>
  <c r="I15" i="7"/>
  <c r="H15" i="7"/>
  <c r="H23" i="7" s="1"/>
  <c r="E21" i="7"/>
  <c r="S23" i="7" l="1"/>
  <c r="T23" i="7"/>
  <c r="I23" i="7"/>
  <c r="E55" i="7"/>
  <c r="E40" i="7"/>
  <c r="E37" i="7"/>
  <c r="E30" i="7"/>
  <c r="E24" i="7"/>
  <c r="J8" i="10" l="1"/>
  <c r="B9" i="11"/>
  <c r="B19" i="9"/>
  <c r="J5" i="10"/>
  <c r="B8" i="11"/>
  <c r="B7" i="9"/>
  <c r="J11" i="10"/>
  <c r="B5" i="11"/>
  <c r="B3" i="9"/>
  <c r="J6" i="10"/>
  <c r="B6" i="11"/>
  <c r="B15" i="9"/>
  <c r="J7" i="10"/>
  <c r="B10" i="11"/>
  <c r="B23" i="9"/>
  <c r="E15" i="7"/>
  <c r="B31" i="9" l="1"/>
  <c r="B12" i="11"/>
  <c r="J4" i="10"/>
  <c r="E23" i="7"/>
  <c r="AL20" i="2"/>
  <c r="AM20" i="2" s="1"/>
  <c r="AL22" i="2"/>
  <c r="AL31" i="2"/>
  <c r="AM34" i="2"/>
  <c r="AL41" i="2"/>
  <c r="AM43" i="2"/>
  <c r="AL46" i="2"/>
  <c r="AL49" i="2"/>
  <c r="AL52" i="2"/>
  <c r="AL57" i="2"/>
  <c r="AM59" i="2"/>
  <c r="AL68" i="2"/>
  <c r="AM68" i="2" s="1"/>
  <c r="AL73" i="2"/>
  <c r="AL79" i="2"/>
  <c r="AM80" i="2"/>
  <c r="AL87" i="2"/>
  <c r="AL95" i="2"/>
  <c r="AL101" i="2"/>
  <c r="AM110" i="2"/>
  <c r="AL112" i="2"/>
  <c r="AL109" i="2" s="1"/>
  <c r="AL116" i="2"/>
  <c r="AL122" i="2"/>
  <c r="AL120" i="2" s="1"/>
  <c r="AL127" i="2"/>
  <c r="AM127" i="2" s="1"/>
  <c r="AL129" i="2"/>
  <c r="AL128" i="2" s="1"/>
  <c r="AL139" i="2"/>
  <c r="AL144" i="2"/>
  <c r="AM147" i="2"/>
  <c r="AL156" i="2"/>
  <c r="AM157" i="2"/>
  <c r="AM158" i="2"/>
  <c r="AL159" i="2"/>
  <c r="AM160" i="2"/>
  <c r="AM161" i="2"/>
  <c r="AM163" i="2"/>
  <c r="AM164" i="2"/>
  <c r="AL165" i="2"/>
  <c r="AL162" i="2" s="1"/>
  <c r="AM166" i="2"/>
  <c r="AM167" i="2"/>
  <c r="AL169" i="2"/>
  <c r="AM170" i="2"/>
  <c r="AM171" i="2"/>
  <c r="AM172" i="2"/>
  <c r="AM174" i="2"/>
  <c r="AM175" i="2"/>
  <c r="AM176" i="2"/>
  <c r="AM177" i="2"/>
  <c r="AL179" i="2"/>
  <c r="AM180" i="2"/>
  <c r="AM181" i="2"/>
  <c r="AM182" i="2"/>
  <c r="AL183" i="2"/>
  <c r="AM184" i="2"/>
  <c r="AM185" i="2"/>
  <c r="AM188" i="2"/>
  <c r="AM189" i="2"/>
  <c r="AL190" i="2"/>
  <c r="AL187" i="2" s="1"/>
  <c r="AM191" i="2"/>
  <c r="AM192" i="2"/>
  <c r="AM193" i="2"/>
  <c r="AM194" i="2"/>
  <c r="AL196" i="2"/>
  <c r="AM197" i="2"/>
  <c r="AM198" i="2"/>
  <c r="AM199" i="2"/>
  <c r="AM200" i="2"/>
  <c r="AL201" i="2"/>
  <c r="AL205" i="2"/>
  <c r="AM206" i="2"/>
  <c r="AM207" i="2"/>
  <c r="AM208" i="2"/>
  <c r="AM209" i="2"/>
  <c r="AM210" i="2"/>
  <c r="AM211" i="2"/>
  <c r="AL212" i="2"/>
  <c r="AM213" i="2"/>
  <c r="AM216" i="2"/>
  <c r="AM217" i="2"/>
  <c r="AM218" i="2"/>
  <c r="AL219" i="2"/>
  <c r="AL215" i="2" s="1"/>
  <c r="AM220" i="2"/>
  <c r="AM221" i="2"/>
  <c r="AL223" i="2"/>
  <c r="AL222" i="2" s="1"/>
  <c r="AL228" i="2"/>
  <c r="AM229" i="2"/>
  <c r="AM230" i="2"/>
  <c r="AM231" i="2"/>
  <c r="AL232" i="2"/>
  <c r="AM233" i="2"/>
  <c r="AM234" i="2"/>
  <c r="AM237" i="2"/>
  <c r="AL238" i="2"/>
  <c r="AL236" i="2" s="1"/>
  <c r="AM239" i="2"/>
  <c r="AM240" i="2"/>
  <c r="AM241" i="2"/>
  <c r="AM242" i="2"/>
  <c r="AM243" i="2"/>
  <c r="AL245" i="2"/>
  <c r="AL244" i="2" s="1"/>
  <c r="AM246" i="2"/>
  <c r="AM247" i="2"/>
  <c r="AM248" i="2"/>
  <c r="AL252" i="2"/>
  <c r="AM253" i="2"/>
  <c r="AM254" i="2"/>
  <c r="AL255" i="2"/>
  <c r="AM256" i="2"/>
  <c r="AM259" i="2"/>
  <c r="AM262" i="2"/>
  <c r="AR21" i="2"/>
  <c r="AR24" i="2"/>
  <c r="AR25" i="2"/>
  <c r="AR27" i="2"/>
  <c r="AR28" i="2"/>
  <c r="AR32" i="2"/>
  <c r="AR33" i="2"/>
  <c r="AR35" i="2"/>
  <c r="AR37" i="2"/>
  <c r="AR38" i="2"/>
  <c r="AR39" i="2"/>
  <c r="AR42" i="2"/>
  <c r="AR44" i="2"/>
  <c r="AR45" i="2"/>
  <c r="AR47" i="2"/>
  <c r="AR48" i="2"/>
  <c r="AR50" i="2"/>
  <c r="AR51" i="2"/>
  <c r="AR53" i="2"/>
  <c r="AR54" i="2"/>
  <c r="AR58" i="2"/>
  <c r="AR60" i="2"/>
  <c r="AR61" i="2"/>
  <c r="AR62" i="2"/>
  <c r="AR63" i="2"/>
  <c r="AR65" i="2"/>
  <c r="AR66" i="2"/>
  <c r="AR67" i="2"/>
  <c r="AR69" i="2"/>
  <c r="AR70" i="2"/>
  <c r="AR71" i="2"/>
  <c r="AR72" i="2"/>
  <c r="AR74" i="2"/>
  <c r="AR75" i="2"/>
  <c r="AR83" i="2"/>
  <c r="AR84" i="2"/>
  <c r="AR85" i="2"/>
  <c r="AR89" i="2"/>
  <c r="AR90" i="2"/>
  <c r="AR91" i="2"/>
  <c r="AR93" i="2"/>
  <c r="AR94" i="2"/>
  <c r="AR96" i="2"/>
  <c r="AR98" i="2"/>
  <c r="AR99" i="2"/>
  <c r="AR100" i="2"/>
  <c r="AR102" i="2"/>
  <c r="AR103" i="2"/>
  <c r="AR106" i="2"/>
  <c r="AR110" i="2"/>
  <c r="AR111" i="2"/>
  <c r="AR113" i="2"/>
  <c r="AR114" i="2"/>
  <c r="AR117" i="2"/>
  <c r="AR118" i="2"/>
  <c r="AR119" i="2"/>
  <c r="AR121" i="2"/>
  <c r="AR122" i="2"/>
  <c r="AR123" i="2"/>
  <c r="AR124" i="2"/>
  <c r="AR125" i="2"/>
  <c r="AR126" i="2"/>
  <c r="AR127" i="2"/>
  <c r="AR130" i="2"/>
  <c r="AR132" i="2"/>
  <c r="AR133" i="2"/>
  <c r="AR134" i="2"/>
  <c r="AR136" i="2"/>
  <c r="AR137" i="2"/>
  <c r="AR141" i="2"/>
  <c r="AR142" i="2"/>
  <c r="AR143" i="2"/>
  <c r="AR145" i="2"/>
  <c r="AR146" i="2"/>
  <c r="AR147" i="2"/>
  <c r="AR148" i="2"/>
  <c r="AR151" i="2"/>
  <c r="AR157" i="2"/>
  <c r="AR158" i="2"/>
  <c r="AR160" i="2"/>
  <c r="AR161" i="2"/>
  <c r="AR163" i="2"/>
  <c r="AR164" i="2"/>
  <c r="AR166" i="2"/>
  <c r="AR167" i="2"/>
  <c r="AR170" i="2"/>
  <c r="AR171" i="2"/>
  <c r="AR172" i="2"/>
  <c r="AR173" i="2"/>
  <c r="AR174" i="2"/>
  <c r="AR175" i="2"/>
  <c r="AR176" i="2"/>
  <c r="AR177" i="2"/>
  <c r="AR180" i="2"/>
  <c r="AR181" i="2"/>
  <c r="AR182" i="2"/>
  <c r="AR184" i="2"/>
  <c r="AR185" i="2"/>
  <c r="AR188" i="2"/>
  <c r="AR189" i="2"/>
  <c r="AR191" i="2"/>
  <c r="AR192" i="2"/>
  <c r="AR193" i="2"/>
  <c r="AR194" i="2"/>
  <c r="AR197" i="2"/>
  <c r="AR198" i="2"/>
  <c r="AR199" i="2"/>
  <c r="AR200" i="2"/>
  <c r="AR202" i="2"/>
  <c r="AR203" i="2"/>
  <c r="AR206" i="2"/>
  <c r="AR207" i="2"/>
  <c r="AR208" i="2"/>
  <c r="AR209" i="2"/>
  <c r="AR210" i="2"/>
  <c r="AR211" i="2"/>
  <c r="AR213" i="2"/>
  <c r="AR216" i="2"/>
  <c r="AR217" i="2"/>
  <c r="AR218" i="2"/>
  <c r="AR220" i="2"/>
  <c r="AR221" i="2"/>
  <c r="AR224" i="2"/>
  <c r="AR225" i="2"/>
  <c r="AR226" i="2"/>
  <c r="AR227" i="2"/>
  <c r="AR229" i="2"/>
  <c r="AR230" i="2"/>
  <c r="AR231" i="2"/>
  <c r="AR233" i="2"/>
  <c r="AR234" i="2"/>
  <c r="AR237" i="2"/>
  <c r="AR239" i="2"/>
  <c r="AR240" i="2"/>
  <c r="AR241" i="2"/>
  <c r="AR242" i="2"/>
  <c r="AR243" i="2"/>
  <c r="AR246" i="2"/>
  <c r="AR247" i="2"/>
  <c r="AR248" i="2"/>
  <c r="AR249" i="2"/>
  <c r="AR250" i="2"/>
  <c r="AR253" i="2"/>
  <c r="AR254" i="2"/>
  <c r="AR256" i="2"/>
  <c r="AR259" i="2"/>
  <c r="AR262" i="2"/>
  <c r="AL204" i="2" l="1"/>
  <c r="AL269" i="2" s="1"/>
  <c r="AL195" i="2"/>
  <c r="AL186" i="2" s="1"/>
  <c r="AL251" i="2"/>
  <c r="AL178" i="2"/>
  <c r="AL271" i="2" s="1"/>
  <c r="AL40" i="2"/>
  <c r="AL56" i="2"/>
  <c r="AL55" i="2" s="1"/>
  <c r="AL86" i="2"/>
  <c r="AL138" i="2"/>
  <c r="AL115" i="2"/>
  <c r="AL108" i="2" s="1"/>
  <c r="AL18" i="2"/>
  <c r="AL17" i="2" s="1"/>
  <c r="AL235" i="2"/>
  <c r="AL270" i="2"/>
  <c r="AL214" i="2"/>
  <c r="AL168" i="2"/>
  <c r="AL78" i="2"/>
  <c r="AL30" i="2"/>
  <c r="AL268" i="2"/>
  <c r="AL154" i="2" l="1"/>
  <c r="AL11" i="2" s="1"/>
  <c r="AL266" i="2"/>
  <c r="AL107" i="2"/>
  <c r="AL29" i="2"/>
  <c r="AL267" i="2"/>
  <c r="AL155" i="2"/>
  <c r="AL77" i="2"/>
  <c r="AL272" i="2" l="1"/>
  <c r="AL14" i="2"/>
  <c r="AL16" i="2"/>
  <c r="AL153" i="2"/>
  <c r="AL10" i="2" s="1"/>
  <c r="AL152" i="2"/>
  <c r="AL15" i="2" l="1"/>
  <c r="AL13" i="2"/>
  <c r="AL9" i="2"/>
  <c r="AL7" i="2" s="1"/>
  <c r="AN270" i="2" l="1"/>
  <c r="AQ101" i="2"/>
  <c r="AP101" i="2"/>
  <c r="AK101" i="2"/>
  <c r="AN268" i="2"/>
  <c r="AQ112" i="2"/>
  <c r="AP112" i="2"/>
  <c r="AN271" i="2"/>
  <c r="AN269" i="2"/>
  <c r="AN267" i="2"/>
  <c r="AN266" i="2"/>
  <c r="AN272" i="2" l="1"/>
  <c r="J144" i="2" l="1"/>
  <c r="AK47" i="2" l="1"/>
  <c r="AU156" i="2" l="1"/>
  <c r="AQ255" i="2" l="1"/>
  <c r="AP255" i="2"/>
  <c r="AQ252" i="2"/>
  <c r="AP252" i="2"/>
  <c r="AQ245" i="2"/>
  <c r="AP245" i="2"/>
  <c r="AP244" i="2" s="1"/>
  <c r="AQ238" i="2"/>
  <c r="AP238" i="2"/>
  <c r="AP236" i="2" s="1"/>
  <c r="AQ232" i="2"/>
  <c r="AP232" i="2"/>
  <c r="AQ228" i="2"/>
  <c r="AP228" i="2"/>
  <c r="AQ223" i="2"/>
  <c r="AP223" i="2"/>
  <c r="AP222" i="2" s="1"/>
  <c r="AQ219" i="2"/>
  <c r="AP219" i="2"/>
  <c r="AP215" i="2" s="1"/>
  <c r="AQ212" i="2"/>
  <c r="AP212" i="2"/>
  <c r="AQ205" i="2"/>
  <c r="AP205" i="2"/>
  <c r="AQ196" i="2"/>
  <c r="AP196" i="2"/>
  <c r="AP195" i="2" s="1"/>
  <c r="AQ187" i="2"/>
  <c r="AP187" i="2"/>
  <c r="K183" i="2"/>
  <c r="AQ169" i="2"/>
  <c r="AP169" i="2"/>
  <c r="AP168" i="2" s="1"/>
  <c r="AQ162" i="2"/>
  <c r="AP162" i="2"/>
  <c r="AQ159" i="2"/>
  <c r="AP159" i="2"/>
  <c r="AK159" i="2"/>
  <c r="AQ156" i="2"/>
  <c r="AP156" i="2"/>
  <c r="AQ144" i="2"/>
  <c r="AP144" i="2"/>
  <c r="AK144" i="2"/>
  <c r="AQ139" i="2"/>
  <c r="AP139" i="2"/>
  <c r="AQ129" i="2"/>
  <c r="AQ128" i="2" s="1"/>
  <c r="AP129" i="2"/>
  <c r="AP128" i="2" s="1"/>
  <c r="AK129" i="2"/>
  <c r="AK128" i="2" s="1"/>
  <c r="AQ120" i="2"/>
  <c r="AP120" i="2"/>
  <c r="AQ116" i="2"/>
  <c r="AP116" i="2"/>
  <c r="AK116" i="2"/>
  <c r="AQ109" i="2"/>
  <c r="AP109" i="2"/>
  <c r="AQ95" i="2"/>
  <c r="AP95" i="2"/>
  <c r="AK95" i="2"/>
  <c r="AQ87" i="2"/>
  <c r="AP87" i="2"/>
  <c r="AK87" i="2"/>
  <c r="AP73" i="2"/>
  <c r="AK73" i="2"/>
  <c r="AQ22" i="2"/>
  <c r="AP22" i="2"/>
  <c r="AK22" i="2"/>
  <c r="AR183" i="2" l="1"/>
  <c r="AM183" i="2"/>
  <c r="AK86" i="2"/>
  <c r="AP86" i="2"/>
  <c r="AP138" i="2"/>
  <c r="AQ236" i="2"/>
  <c r="AP270" i="2"/>
  <c r="AQ86" i="2"/>
  <c r="AP115" i="2"/>
  <c r="AP204" i="2"/>
  <c r="AP269" i="2" s="1"/>
  <c r="AQ251" i="2"/>
  <c r="AQ204" i="2"/>
  <c r="AQ215" i="2"/>
  <c r="AQ138" i="2"/>
  <c r="AQ222" i="2"/>
  <c r="AQ115" i="2"/>
  <c r="AQ168" i="2"/>
  <c r="AQ195" i="2"/>
  <c r="AQ244" i="2"/>
  <c r="AQ178" i="2"/>
  <c r="AP251" i="2"/>
  <c r="AP235" i="2"/>
  <c r="AP214" i="2"/>
  <c r="AP186" i="2"/>
  <c r="AP178" i="2"/>
  <c r="AP155" i="2" s="1"/>
  <c r="AQ266" i="2" l="1"/>
  <c r="AQ269" i="2"/>
  <c r="AQ270" i="2"/>
  <c r="AP108" i="2"/>
  <c r="AP107" i="2" s="1"/>
  <c r="AP14" i="2" s="1"/>
  <c r="AP266" i="2"/>
  <c r="AP271" i="2"/>
  <c r="AP154" i="2"/>
  <c r="AP11" i="2" s="1"/>
  <c r="AQ186" i="2"/>
  <c r="AQ108" i="2"/>
  <c r="AQ214" i="2"/>
  <c r="AQ235" i="2"/>
  <c r="AQ155" i="2"/>
  <c r="AP152" i="2"/>
  <c r="AP15" i="2" s="1"/>
  <c r="AP153" i="2"/>
  <c r="AQ107" i="2" l="1"/>
  <c r="AP10" i="2"/>
  <c r="AQ154" i="2"/>
  <c r="AQ152" i="2"/>
  <c r="AQ153" i="2"/>
  <c r="AU239" i="2"/>
  <c r="AU238" i="2" s="1"/>
  <c r="AU236" i="2" s="1"/>
  <c r="AU235" i="2" s="1"/>
  <c r="AQ14" i="2" l="1"/>
  <c r="AQ15" i="2"/>
  <c r="AQ10" i="2"/>
  <c r="AQ11" i="2"/>
  <c r="AQ76" i="2"/>
  <c r="AR76" i="2" s="1"/>
  <c r="AQ73" i="2" l="1"/>
  <c r="AQ43" i="2"/>
  <c r="AR43" i="2" s="1"/>
  <c r="AP43" i="2"/>
  <c r="AQ34" i="2"/>
  <c r="AR34" i="2" s="1"/>
  <c r="AP34" i="2"/>
  <c r="AP31" i="2" s="1"/>
  <c r="AP30" i="2" s="1"/>
  <c r="AQ46" i="2"/>
  <c r="AR46" i="2" s="1"/>
  <c r="AP46" i="2"/>
  <c r="AQ271" i="2" l="1"/>
  <c r="AP41" i="2"/>
  <c r="AP40" i="2" s="1"/>
  <c r="AP29" i="2" s="1"/>
  <c r="AQ41" i="2"/>
  <c r="AQ31" i="2"/>
  <c r="AQ40" i="2" l="1"/>
  <c r="AQ30" i="2"/>
  <c r="AU107" i="2"/>
  <c r="AU16" i="2"/>
  <c r="AQ29" i="2" l="1"/>
  <c r="K156" i="2"/>
  <c r="AR156" i="2" l="1"/>
  <c r="AM156" i="2"/>
  <c r="AK255" i="2"/>
  <c r="AU256" i="2" l="1"/>
  <c r="AU255" i="2" s="1"/>
  <c r="AK127" i="2" l="1"/>
  <c r="AK110" i="2"/>
  <c r="AP68" i="2" l="1"/>
  <c r="AQ68" i="2"/>
  <c r="AO109" i="2"/>
  <c r="AR68" i="2" l="1"/>
  <c r="AU14" i="2"/>
  <c r="AU13" i="2"/>
  <c r="AU9" i="2"/>
  <c r="F18" i="2" l="1"/>
  <c r="H18" i="2"/>
  <c r="K18" i="2"/>
  <c r="AM18" i="2" s="1"/>
  <c r="L18" i="2"/>
  <c r="N18" i="2"/>
  <c r="P18" i="2"/>
  <c r="R18" i="2"/>
  <c r="T18" i="2"/>
  <c r="U18" i="2"/>
  <c r="V18" i="2"/>
  <c r="W18" i="2"/>
  <c r="X18" i="2"/>
  <c r="X17" i="2" s="1"/>
  <c r="AA18" i="2"/>
  <c r="AE18" i="2"/>
  <c r="AE17" i="2" s="1"/>
  <c r="AK18" i="2"/>
  <c r="AK17" i="2" s="1"/>
  <c r="AO18" i="2"/>
  <c r="Z19" i="2"/>
  <c r="AC19" i="2"/>
  <c r="Y19" i="2" s="1"/>
  <c r="J20" i="2"/>
  <c r="J18" i="2" s="1"/>
  <c r="Z20" i="2"/>
  <c r="AC20" i="2"/>
  <c r="Z21" i="2"/>
  <c r="AC21" i="2"/>
  <c r="Y21" i="2" s="1"/>
  <c r="F23" i="2"/>
  <c r="H23" i="2"/>
  <c r="J23" i="2"/>
  <c r="K23" i="2"/>
  <c r="AR23" i="2" s="1"/>
  <c r="L23" i="2"/>
  <c r="N23" i="2"/>
  <c r="P23" i="2"/>
  <c r="P22" i="2" s="1"/>
  <c r="R23" i="2"/>
  <c r="R22" i="2" s="1"/>
  <c r="T23" i="2"/>
  <c r="T22" i="2" s="1"/>
  <c r="U23" i="2"/>
  <c r="U22" i="2" s="1"/>
  <c r="V23" i="2"/>
  <c r="V22" i="2" s="1"/>
  <c r="W23" i="2"/>
  <c r="W22" i="2" s="1"/>
  <c r="AA23" i="2"/>
  <c r="AE23" i="2"/>
  <c r="M24" i="2"/>
  <c r="O24" i="2"/>
  <c r="Q24" i="2"/>
  <c r="S24" i="2"/>
  <c r="Z24" i="2"/>
  <c r="AC24" i="2"/>
  <c r="AD24" i="2" s="1"/>
  <c r="AF24" i="2"/>
  <c r="AG24" i="2" s="1"/>
  <c r="M25" i="2"/>
  <c r="O25" i="2"/>
  <c r="Q25" i="2"/>
  <c r="S25" i="2"/>
  <c r="Z25" i="2"/>
  <c r="AB25" i="2"/>
  <c r="AC25" i="2"/>
  <c r="AF25" i="2"/>
  <c r="AG25" i="2" s="1"/>
  <c r="F26" i="2"/>
  <c r="H26" i="2"/>
  <c r="J26" i="2"/>
  <c r="K26" i="2"/>
  <c r="AR26" i="2" s="1"/>
  <c r="L26" i="2"/>
  <c r="N26" i="2"/>
  <c r="AA26" i="2"/>
  <c r="AC26" i="2"/>
  <c r="O27" i="2"/>
  <c r="Q27" i="2"/>
  <c r="S27" i="2"/>
  <c r="Z27" i="2"/>
  <c r="AC27" i="2"/>
  <c r="AF27" i="2"/>
  <c r="AG27" i="2" s="1"/>
  <c r="Z28" i="2"/>
  <c r="AC28" i="2"/>
  <c r="Y28" i="2" s="1"/>
  <c r="AF28" i="2"/>
  <c r="AE29" i="2"/>
  <c r="F31" i="2"/>
  <c r="H31" i="2"/>
  <c r="J31" i="2"/>
  <c r="K31" i="2"/>
  <c r="L31" i="2"/>
  <c r="N31" i="2"/>
  <c r="P31" i="2"/>
  <c r="R31" i="2"/>
  <c r="T31" i="2"/>
  <c r="U31" i="2"/>
  <c r="V31" i="2"/>
  <c r="W31" i="2"/>
  <c r="AA31" i="2"/>
  <c r="AO31" i="2"/>
  <c r="M32" i="2"/>
  <c r="O32" i="2"/>
  <c r="Q32" i="2"/>
  <c r="S32" i="2"/>
  <c r="Z32" i="2"/>
  <c r="AC32" i="2"/>
  <c r="AF32" i="2"/>
  <c r="AG32" i="2" s="1"/>
  <c r="M33" i="2"/>
  <c r="O33" i="2"/>
  <c r="Q33" i="2"/>
  <c r="S33" i="2"/>
  <c r="Z33" i="2"/>
  <c r="AC33" i="2"/>
  <c r="AF33" i="2"/>
  <c r="AG33" i="2" s="1"/>
  <c r="M34" i="2"/>
  <c r="O34" i="2"/>
  <c r="Q34" i="2"/>
  <c r="S34" i="2"/>
  <c r="Z34" i="2"/>
  <c r="AC34" i="2"/>
  <c r="AD34" i="2" s="1"/>
  <c r="AF34" i="2"/>
  <c r="AG34" i="2" s="1"/>
  <c r="AK34" i="2"/>
  <c r="AK31" i="2" s="1"/>
  <c r="AK30" i="2" s="1"/>
  <c r="M35" i="2"/>
  <c r="O35" i="2"/>
  <c r="Q35" i="2"/>
  <c r="S35" i="2"/>
  <c r="Z35" i="2"/>
  <c r="AC35" i="2"/>
  <c r="AF35" i="2"/>
  <c r="AG35" i="2" s="1"/>
  <c r="F36" i="2"/>
  <c r="H36" i="2"/>
  <c r="J36" i="2"/>
  <c r="K36" i="2"/>
  <c r="AR36" i="2" s="1"/>
  <c r="L36" i="2"/>
  <c r="N36" i="2"/>
  <c r="P36" i="2"/>
  <c r="R36" i="2"/>
  <c r="T36" i="2"/>
  <c r="U36" i="2"/>
  <c r="V36" i="2"/>
  <c r="W36" i="2"/>
  <c r="AA36" i="2"/>
  <c r="M37" i="2"/>
  <c r="O37" i="2"/>
  <c r="Q37" i="2"/>
  <c r="S37" i="2"/>
  <c r="Z37" i="2"/>
  <c r="AC37" i="2"/>
  <c r="AD37" i="2" s="1"/>
  <c r="AF37" i="2"/>
  <c r="AG37" i="2" s="1"/>
  <c r="M38" i="2"/>
  <c r="O38" i="2"/>
  <c r="Q38" i="2"/>
  <c r="S38" i="2"/>
  <c r="Z38" i="2"/>
  <c r="AC38" i="2"/>
  <c r="AF38" i="2"/>
  <c r="AG38" i="2" s="1"/>
  <c r="M39" i="2"/>
  <c r="O39" i="2"/>
  <c r="Q39" i="2"/>
  <c r="S39" i="2"/>
  <c r="Z39" i="2"/>
  <c r="AC39" i="2"/>
  <c r="Y39" i="2" s="1"/>
  <c r="AF39" i="2"/>
  <c r="AG39" i="2" s="1"/>
  <c r="F41" i="2"/>
  <c r="H41" i="2"/>
  <c r="J41" i="2"/>
  <c r="K41" i="2"/>
  <c r="AR41" i="2" s="1"/>
  <c r="L41" i="2"/>
  <c r="N41" i="2"/>
  <c r="P41" i="2"/>
  <c r="R41" i="2"/>
  <c r="T41" i="2"/>
  <c r="U41" i="2"/>
  <c r="V41" i="2"/>
  <c r="W41" i="2"/>
  <c r="X41" i="2"/>
  <c r="AA41" i="2"/>
  <c r="AE41" i="2"/>
  <c r="AO41" i="2"/>
  <c r="Z42" i="2"/>
  <c r="AC42" i="2"/>
  <c r="Y42" i="2" s="1"/>
  <c r="AF42" i="2"/>
  <c r="M43" i="2"/>
  <c r="O43" i="2"/>
  <c r="Q43" i="2"/>
  <c r="S43" i="2"/>
  <c r="Z43" i="2"/>
  <c r="AC43" i="2"/>
  <c r="AF43" i="2"/>
  <c r="AG43" i="2" s="1"/>
  <c r="AK41" i="2"/>
  <c r="Z44" i="2"/>
  <c r="AC44" i="2"/>
  <c r="AF44" i="2"/>
  <c r="M45" i="2"/>
  <c r="O45" i="2"/>
  <c r="Q45" i="2"/>
  <c r="S45" i="2"/>
  <c r="Z45" i="2"/>
  <c r="AC45" i="2"/>
  <c r="Y45" i="2" s="1"/>
  <c r="AF45" i="2"/>
  <c r="AG45" i="2" s="1"/>
  <c r="P46" i="2"/>
  <c r="R46" i="2"/>
  <c r="T46" i="2"/>
  <c r="U46" i="2"/>
  <c r="V46" i="2"/>
  <c r="W46" i="2"/>
  <c r="X46" i="2"/>
  <c r="AA46" i="2"/>
  <c r="AK46" i="2"/>
  <c r="AK40" i="2" s="1"/>
  <c r="AO46" i="2"/>
  <c r="Z47" i="2"/>
  <c r="AC47" i="2"/>
  <c r="AF47" i="2"/>
  <c r="Z48" i="2"/>
  <c r="AC48" i="2"/>
  <c r="Y48" i="2" s="1"/>
  <c r="AF48" i="2"/>
  <c r="F49" i="2"/>
  <c r="H49" i="2"/>
  <c r="J49" i="2"/>
  <c r="Q49" i="2" s="1"/>
  <c r="K49" i="2"/>
  <c r="AR49" i="2" s="1"/>
  <c r="L49" i="2"/>
  <c r="N49" i="2"/>
  <c r="R49" i="2"/>
  <c r="T49" i="2"/>
  <c r="U49" i="2"/>
  <c r="V49" i="2"/>
  <c r="W49" i="2"/>
  <c r="AA49" i="2"/>
  <c r="AO49" i="2"/>
  <c r="Z50" i="2"/>
  <c r="AC50" i="2"/>
  <c r="Y50" i="2" s="1"/>
  <c r="AF50" i="2"/>
  <c r="M51" i="2"/>
  <c r="O51" i="2"/>
  <c r="Q51" i="2"/>
  <c r="S51" i="2"/>
  <c r="Z51" i="2"/>
  <c r="AC51" i="2"/>
  <c r="AF51" i="2"/>
  <c r="AG51" i="2" s="1"/>
  <c r="F52" i="2"/>
  <c r="H52" i="2"/>
  <c r="J52" i="2"/>
  <c r="K52" i="2"/>
  <c r="AR52" i="2" s="1"/>
  <c r="L52" i="2"/>
  <c r="N52" i="2"/>
  <c r="P52" i="2"/>
  <c r="Q52" i="2" s="1"/>
  <c r="R52" i="2"/>
  <c r="T52" i="2"/>
  <c r="U52" i="2"/>
  <c r="V52" i="2"/>
  <c r="W52" i="2"/>
  <c r="X52" i="2"/>
  <c r="AA52" i="2"/>
  <c r="AO52" i="2"/>
  <c r="M53" i="2"/>
  <c r="O53" i="2"/>
  <c r="Q53" i="2"/>
  <c r="S53" i="2"/>
  <c r="Z53" i="2"/>
  <c r="AC53" i="2"/>
  <c r="Y53" i="2" s="1"/>
  <c r="AF53" i="2"/>
  <c r="AG53" i="2" s="1"/>
  <c r="M54" i="2"/>
  <c r="O54" i="2"/>
  <c r="Q54" i="2"/>
  <c r="S54" i="2"/>
  <c r="Z54" i="2"/>
  <c r="AB54" i="2"/>
  <c r="AC54" i="2"/>
  <c r="Y54" i="2" s="1"/>
  <c r="AF54" i="2"/>
  <c r="AG54" i="2" s="1"/>
  <c r="AO56" i="2"/>
  <c r="F57" i="2"/>
  <c r="H57" i="2"/>
  <c r="J57" i="2"/>
  <c r="K57" i="2"/>
  <c r="AM57" i="2" s="1"/>
  <c r="L57" i="2"/>
  <c r="N57" i="2"/>
  <c r="P57" i="2"/>
  <c r="R57" i="2"/>
  <c r="T57" i="2"/>
  <c r="U57" i="2"/>
  <c r="V57" i="2"/>
  <c r="W57" i="2"/>
  <c r="X57" i="2"/>
  <c r="AA57" i="2"/>
  <c r="M58" i="2"/>
  <c r="O58" i="2"/>
  <c r="Q58" i="2"/>
  <c r="S58" i="2"/>
  <c r="Z58" i="2"/>
  <c r="AB58" i="2"/>
  <c r="AC58" i="2"/>
  <c r="Y58" i="2" s="1"/>
  <c r="AF58" i="2"/>
  <c r="AG58" i="2" s="1"/>
  <c r="M59" i="2"/>
  <c r="O59" i="2"/>
  <c r="Q59" i="2"/>
  <c r="S59" i="2"/>
  <c r="Z59" i="2"/>
  <c r="AC59" i="2"/>
  <c r="AF59" i="2"/>
  <c r="AG59" i="2" s="1"/>
  <c r="AK59" i="2"/>
  <c r="M60" i="2"/>
  <c r="O60" i="2"/>
  <c r="Q60" i="2"/>
  <c r="S60" i="2"/>
  <c r="Z60" i="2"/>
  <c r="AB60" i="2"/>
  <c r="AC60" i="2"/>
  <c r="AF60" i="2"/>
  <c r="AG60" i="2" s="1"/>
  <c r="M61" i="2"/>
  <c r="O61" i="2"/>
  <c r="Q61" i="2"/>
  <c r="S61" i="2"/>
  <c r="Z61" i="2"/>
  <c r="AC61" i="2"/>
  <c r="AG61" i="2"/>
  <c r="M62" i="2"/>
  <c r="O62" i="2"/>
  <c r="Q62" i="2"/>
  <c r="S62" i="2"/>
  <c r="AF62" i="2"/>
  <c r="AG62" i="2" s="1"/>
  <c r="M63" i="2"/>
  <c r="O63" i="2"/>
  <c r="Q63" i="2"/>
  <c r="S63" i="2"/>
  <c r="Z63" i="2"/>
  <c r="AC63" i="2"/>
  <c r="Y63" i="2" s="1"/>
  <c r="AF63" i="2"/>
  <c r="AG63" i="2" s="1"/>
  <c r="F64" i="2"/>
  <c r="H64" i="2"/>
  <c r="J64" i="2"/>
  <c r="K64" i="2"/>
  <c r="AR64" i="2" s="1"/>
  <c r="L64" i="2"/>
  <c r="N64" i="2"/>
  <c r="P64" i="2"/>
  <c r="Q64" i="2" s="1"/>
  <c r="R64" i="2"/>
  <c r="T64" i="2"/>
  <c r="U64" i="2"/>
  <c r="V64" i="2"/>
  <c r="W64" i="2"/>
  <c r="X64" i="2"/>
  <c r="AA64" i="2"/>
  <c r="M65" i="2"/>
  <c r="O65" i="2"/>
  <c r="Q65" i="2"/>
  <c r="S65" i="2"/>
  <c r="Z65" i="2"/>
  <c r="AC65" i="2"/>
  <c r="AD65" i="2" s="1"/>
  <c r="AG65" i="2"/>
  <c r="M66" i="2"/>
  <c r="O66" i="2"/>
  <c r="Q66" i="2"/>
  <c r="S66" i="2"/>
  <c r="Z66" i="2"/>
  <c r="AC66" i="2"/>
  <c r="Y66" i="2" s="1"/>
  <c r="AG66" i="2"/>
  <c r="M67" i="2"/>
  <c r="O67" i="2"/>
  <c r="Q67" i="2"/>
  <c r="S67" i="2"/>
  <c r="Z67" i="2"/>
  <c r="AC67" i="2"/>
  <c r="AF67" i="2"/>
  <c r="AG67" i="2" s="1"/>
  <c r="M68" i="2"/>
  <c r="O68" i="2"/>
  <c r="Q68" i="2"/>
  <c r="S68" i="2"/>
  <c r="Z68" i="2"/>
  <c r="AC68" i="2"/>
  <c r="AD68" i="2" s="1"/>
  <c r="AF68" i="2"/>
  <c r="AG68" i="2" s="1"/>
  <c r="Z69" i="2"/>
  <c r="AC69" i="2"/>
  <c r="Y69" i="2" s="1"/>
  <c r="AF69" i="2"/>
  <c r="M70" i="2"/>
  <c r="O70" i="2"/>
  <c r="Q70" i="2"/>
  <c r="S70" i="2"/>
  <c r="Z70" i="2"/>
  <c r="AC70" i="2"/>
  <c r="AF70" i="2"/>
  <c r="AG70" i="2" s="1"/>
  <c r="Z71" i="2"/>
  <c r="AC71" i="2"/>
  <c r="Y71" i="2" s="1"/>
  <c r="AF71" i="2"/>
  <c r="M72" i="2"/>
  <c r="O72" i="2"/>
  <c r="Q72" i="2"/>
  <c r="S72" i="2"/>
  <c r="Z72" i="2"/>
  <c r="AB72" i="2"/>
  <c r="AC72" i="2"/>
  <c r="Y72" i="2" s="1"/>
  <c r="AF72" i="2"/>
  <c r="AG72" i="2" s="1"/>
  <c r="F73" i="2"/>
  <c r="H73" i="2"/>
  <c r="J73" i="2"/>
  <c r="K73" i="2"/>
  <c r="AR73" i="2" s="1"/>
  <c r="L73" i="2"/>
  <c r="N73" i="2"/>
  <c r="P73" i="2"/>
  <c r="R73" i="2"/>
  <c r="T73" i="2"/>
  <c r="U73" i="2"/>
  <c r="V73" i="2"/>
  <c r="W73" i="2"/>
  <c r="X73" i="2"/>
  <c r="AA73" i="2"/>
  <c r="AE73" i="2"/>
  <c r="Z74" i="2"/>
  <c r="AC74" i="2"/>
  <c r="Y74" i="2" s="1"/>
  <c r="AF74" i="2"/>
  <c r="Z75" i="2"/>
  <c r="AC75" i="2"/>
  <c r="Y75" i="2" s="1"/>
  <c r="AF75" i="2"/>
  <c r="M76" i="2"/>
  <c r="Q76" i="2"/>
  <c r="S76" i="2"/>
  <c r="Z76" i="2"/>
  <c r="AC76" i="2"/>
  <c r="AG76" i="2"/>
  <c r="F79" i="2"/>
  <c r="H79" i="2"/>
  <c r="J79" i="2"/>
  <c r="K79" i="2"/>
  <c r="AM79" i="2" s="1"/>
  <c r="L79" i="2"/>
  <c r="N79" i="2"/>
  <c r="P79" i="2"/>
  <c r="R79" i="2"/>
  <c r="T79" i="2"/>
  <c r="U79" i="2"/>
  <c r="V79" i="2"/>
  <c r="W79" i="2"/>
  <c r="W78" i="2" s="1"/>
  <c r="W77" i="2" s="1"/>
  <c r="X79" i="2"/>
  <c r="X78" i="2" s="1"/>
  <c r="X77" i="2" s="1"/>
  <c r="AA79" i="2"/>
  <c r="O80" i="2"/>
  <c r="Q80" i="2"/>
  <c r="S80" i="2"/>
  <c r="Z80" i="2"/>
  <c r="AC80" i="2"/>
  <c r="AF80" i="2"/>
  <c r="AG80" i="2" s="1"/>
  <c r="O81" i="2"/>
  <c r="Q81" i="2"/>
  <c r="S81" i="2"/>
  <c r="Z81" i="2"/>
  <c r="AC81" i="2"/>
  <c r="AF81" i="2"/>
  <c r="AG81" i="2" s="1"/>
  <c r="F82" i="2"/>
  <c r="H82" i="2"/>
  <c r="J82" i="2"/>
  <c r="K82" i="2"/>
  <c r="AR82" i="2" s="1"/>
  <c r="L82" i="2"/>
  <c r="N82" i="2"/>
  <c r="P82" i="2"/>
  <c r="Q82" i="2" s="1"/>
  <c r="R82" i="2"/>
  <c r="T82" i="2"/>
  <c r="U82" i="2"/>
  <c r="V82" i="2"/>
  <c r="AA82" i="2"/>
  <c r="M83" i="2"/>
  <c r="O83" i="2"/>
  <c r="Q83" i="2"/>
  <c r="S83" i="2"/>
  <c r="Z83" i="2"/>
  <c r="AC83" i="2"/>
  <c r="AD83" i="2" s="1"/>
  <c r="AG83" i="2"/>
  <c r="M84" i="2"/>
  <c r="O84" i="2"/>
  <c r="Q84" i="2"/>
  <c r="S84" i="2"/>
  <c r="Z84" i="2"/>
  <c r="AC84" i="2"/>
  <c r="AD84" i="2" s="1"/>
  <c r="AF84" i="2"/>
  <c r="AG84" i="2" s="1"/>
  <c r="M85" i="2"/>
  <c r="O85" i="2"/>
  <c r="Q85" i="2"/>
  <c r="S85" i="2"/>
  <c r="Z85" i="2"/>
  <c r="AC85" i="2"/>
  <c r="Y85" i="2" s="1"/>
  <c r="AF85" i="2"/>
  <c r="AG85" i="2" s="1"/>
  <c r="F88" i="2"/>
  <c r="H88" i="2"/>
  <c r="J88" i="2"/>
  <c r="K88" i="2"/>
  <c r="AR88" i="2" s="1"/>
  <c r="L88" i="2"/>
  <c r="N88" i="2"/>
  <c r="P88" i="2"/>
  <c r="T88" i="2"/>
  <c r="U88" i="2"/>
  <c r="V88" i="2"/>
  <c r="W88" i="2"/>
  <c r="X88" i="2"/>
  <c r="AA88" i="2"/>
  <c r="AE88" i="2"/>
  <c r="M89" i="2"/>
  <c r="O89" i="2"/>
  <c r="Q89" i="2"/>
  <c r="R89" i="2"/>
  <c r="S89" i="2" s="1"/>
  <c r="Z89" i="2"/>
  <c r="AC89" i="2"/>
  <c r="M90" i="2"/>
  <c r="Z90" i="2"/>
  <c r="AC90" i="2"/>
  <c r="Y90" i="2" s="1"/>
  <c r="M91" i="2"/>
  <c r="O91" i="2"/>
  <c r="Q91" i="2"/>
  <c r="S91" i="2"/>
  <c r="Z91" i="2"/>
  <c r="AC91" i="2"/>
  <c r="AF91" i="2"/>
  <c r="AG91" i="2" s="1"/>
  <c r="F92" i="2"/>
  <c r="H92" i="2"/>
  <c r="J92" i="2"/>
  <c r="K92" i="2"/>
  <c r="AR92" i="2" s="1"/>
  <c r="L92" i="2"/>
  <c r="N92" i="2"/>
  <c r="P92" i="2"/>
  <c r="R92" i="2"/>
  <c r="T92" i="2"/>
  <c r="U92" i="2"/>
  <c r="V92" i="2"/>
  <c r="W92" i="2"/>
  <c r="X92" i="2"/>
  <c r="AA92" i="2"/>
  <c r="AE92" i="2"/>
  <c r="M93" i="2"/>
  <c r="O93" i="2"/>
  <c r="Q93" i="2"/>
  <c r="S93" i="2"/>
  <c r="Z93" i="2"/>
  <c r="AB93" i="2"/>
  <c r="AC93" i="2"/>
  <c r="AF93" i="2"/>
  <c r="AG93" i="2" s="1"/>
  <c r="M94" i="2"/>
  <c r="O94" i="2"/>
  <c r="Q94" i="2"/>
  <c r="S94" i="2"/>
  <c r="Z94" i="2"/>
  <c r="AC94" i="2"/>
  <c r="AF94" i="2"/>
  <c r="AG94" i="2" s="1"/>
  <c r="M96" i="2"/>
  <c r="O96" i="2"/>
  <c r="Q96" i="2"/>
  <c r="S96" i="2"/>
  <c r="Z96" i="2"/>
  <c r="AC96" i="2"/>
  <c r="AF96" i="2"/>
  <c r="AG96" i="2" s="1"/>
  <c r="F97" i="2"/>
  <c r="F95" i="2" s="1"/>
  <c r="H97" i="2"/>
  <c r="H95" i="2" s="1"/>
  <c r="J97" i="2"/>
  <c r="J95" i="2" s="1"/>
  <c r="K97" i="2"/>
  <c r="L97" i="2"/>
  <c r="N97" i="2"/>
  <c r="N95" i="2" s="1"/>
  <c r="P97" i="2"/>
  <c r="P95" i="2" s="1"/>
  <c r="Q95" i="2" s="1"/>
  <c r="R97" i="2"/>
  <c r="T97" i="2"/>
  <c r="T95" i="2" s="1"/>
  <c r="U97" i="2"/>
  <c r="U95" i="2" s="1"/>
  <c r="V97" i="2"/>
  <c r="V95" i="2" s="1"/>
  <c r="W97" i="2"/>
  <c r="W95" i="2" s="1"/>
  <c r="X97" i="2"/>
  <c r="X95" i="2" s="1"/>
  <c r="AA97" i="2"/>
  <c r="AA95" i="2" s="1"/>
  <c r="M98" i="2"/>
  <c r="O98" i="2"/>
  <c r="Q98" i="2"/>
  <c r="S98" i="2"/>
  <c r="Z98" i="2"/>
  <c r="AC98" i="2"/>
  <c r="AF98" i="2"/>
  <c r="AG98" i="2" s="1"/>
  <c r="M99" i="2"/>
  <c r="O99" i="2"/>
  <c r="Q99" i="2"/>
  <c r="S99" i="2"/>
  <c r="Z99" i="2"/>
  <c r="AC99" i="2"/>
  <c r="AF99" i="2"/>
  <c r="AG99" i="2" s="1"/>
  <c r="M100" i="2"/>
  <c r="O100" i="2"/>
  <c r="Q100" i="2"/>
  <c r="S100" i="2"/>
  <c r="Z100" i="2"/>
  <c r="AC100" i="2"/>
  <c r="Y100" i="2" s="1"/>
  <c r="AF100" i="2"/>
  <c r="AG100" i="2" s="1"/>
  <c r="F101" i="2"/>
  <c r="H101" i="2"/>
  <c r="K101" i="2"/>
  <c r="AR101" i="2" s="1"/>
  <c r="L101" i="2"/>
  <c r="N101" i="2"/>
  <c r="P101" i="2"/>
  <c r="R101" i="2"/>
  <c r="T101" i="2"/>
  <c r="U101" i="2"/>
  <c r="V101" i="2"/>
  <c r="W101" i="2"/>
  <c r="X101" i="2"/>
  <c r="AA101" i="2"/>
  <c r="J102" i="2"/>
  <c r="Q102" i="2" s="1"/>
  <c r="Z102" i="2"/>
  <c r="AC102" i="2"/>
  <c r="J103" i="2"/>
  <c r="S103" i="2" s="1"/>
  <c r="Z103" i="2"/>
  <c r="AC103" i="2"/>
  <c r="Y103" i="2" s="1"/>
  <c r="F105" i="2"/>
  <c r="F104" i="2" s="1"/>
  <c r="H105" i="2"/>
  <c r="H104" i="2" s="1"/>
  <c r="J105" i="2"/>
  <c r="K105" i="2"/>
  <c r="L105" i="2"/>
  <c r="L104" i="2" s="1"/>
  <c r="N105" i="2"/>
  <c r="N104" i="2" s="1"/>
  <c r="P105" i="2"/>
  <c r="P104" i="2" s="1"/>
  <c r="R105" i="2"/>
  <c r="T105" i="2"/>
  <c r="T104" i="2" s="1"/>
  <c r="U105" i="2"/>
  <c r="U104" i="2" s="1"/>
  <c r="V105" i="2"/>
  <c r="V104" i="2" s="1"/>
  <c r="W105" i="2"/>
  <c r="X105" i="2"/>
  <c r="X104" i="2" s="1"/>
  <c r="AA105" i="2"/>
  <c r="AC105" i="2"/>
  <c r="AE105" i="2"/>
  <c r="AE104" i="2" s="1"/>
  <c r="M106" i="2"/>
  <c r="O106" i="2"/>
  <c r="Q106" i="2"/>
  <c r="S106" i="2"/>
  <c r="AD106" i="2"/>
  <c r="AF106" i="2"/>
  <c r="AG106" i="2" s="1"/>
  <c r="H110" i="2"/>
  <c r="M110" i="2"/>
  <c r="O110" i="2"/>
  <c r="Q110" i="2"/>
  <c r="S110" i="2"/>
  <c r="Z110" i="2"/>
  <c r="AB110" i="2"/>
  <c r="AC110" i="2"/>
  <c r="AF110" i="2"/>
  <c r="AG110" i="2" s="1"/>
  <c r="H111" i="2"/>
  <c r="M111" i="2"/>
  <c r="O111" i="2"/>
  <c r="Q111" i="2"/>
  <c r="S111" i="2"/>
  <c r="Z111" i="2"/>
  <c r="AC111" i="2"/>
  <c r="AF111" i="2"/>
  <c r="AG111" i="2" s="1"/>
  <c r="F112" i="2"/>
  <c r="F109" i="2" s="1"/>
  <c r="G112" i="2"/>
  <c r="H112" i="2"/>
  <c r="J112" i="2"/>
  <c r="K112" i="2"/>
  <c r="L112" i="2"/>
  <c r="L109" i="2" s="1"/>
  <c r="N112" i="2"/>
  <c r="P112" i="2"/>
  <c r="P109" i="2" s="1"/>
  <c r="R112" i="2"/>
  <c r="T112" i="2"/>
  <c r="T109" i="2" s="1"/>
  <c r="U112" i="2"/>
  <c r="V112" i="2"/>
  <c r="V109" i="2" s="1"/>
  <c r="W112" i="2"/>
  <c r="W109" i="2" s="1"/>
  <c r="X112" i="2"/>
  <c r="X109" i="2" s="1"/>
  <c r="AA112" i="2"/>
  <c r="AA109" i="2" s="1"/>
  <c r="AE112" i="2"/>
  <c r="M113" i="2"/>
  <c r="O113" i="2"/>
  <c r="Q113" i="2"/>
  <c r="S113" i="2"/>
  <c r="Z113" i="2"/>
  <c r="AC113" i="2"/>
  <c r="AF113" i="2"/>
  <c r="AG113" i="2" s="1"/>
  <c r="AK112" i="2"/>
  <c r="M114" i="2"/>
  <c r="O114" i="2"/>
  <c r="Q114" i="2"/>
  <c r="S114" i="2"/>
  <c r="Z114" i="2"/>
  <c r="AC114" i="2"/>
  <c r="AF114" i="2"/>
  <c r="AG114" i="2" s="1"/>
  <c r="H115" i="2"/>
  <c r="F116" i="2"/>
  <c r="J116" i="2"/>
  <c r="K116" i="2"/>
  <c r="AR116" i="2" s="1"/>
  <c r="L116" i="2"/>
  <c r="N116" i="2"/>
  <c r="P116" i="2"/>
  <c r="R116" i="2"/>
  <c r="T116" i="2"/>
  <c r="U116" i="2"/>
  <c r="V116" i="2"/>
  <c r="W116" i="2"/>
  <c r="X116" i="2"/>
  <c r="AA116" i="2"/>
  <c r="H117" i="2"/>
  <c r="M117" i="2"/>
  <c r="O117" i="2"/>
  <c r="Q117" i="2"/>
  <c r="S117" i="2"/>
  <c r="Z117" i="2"/>
  <c r="AC117" i="2"/>
  <c r="AD117" i="2" s="1"/>
  <c r="AF117" i="2"/>
  <c r="AG117" i="2" s="1"/>
  <c r="H118" i="2"/>
  <c r="M118" i="2"/>
  <c r="O118" i="2"/>
  <c r="Q118" i="2"/>
  <c r="S118" i="2"/>
  <c r="Z118" i="2"/>
  <c r="AB118" i="2"/>
  <c r="AC118" i="2"/>
  <c r="AF118" i="2"/>
  <c r="AG118" i="2" s="1"/>
  <c r="M119" i="2"/>
  <c r="Z119" i="2"/>
  <c r="AC119" i="2"/>
  <c r="Y119" i="2" s="1"/>
  <c r="AF119" i="2"/>
  <c r="F120" i="2"/>
  <c r="J120" i="2"/>
  <c r="K120" i="2"/>
  <c r="L120" i="2"/>
  <c r="N120" i="2"/>
  <c r="P120" i="2"/>
  <c r="R120" i="2"/>
  <c r="T120" i="2"/>
  <c r="U120" i="2"/>
  <c r="V120" i="2"/>
  <c r="W120" i="2"/>
  <c r="X120" i="2"/>
  <c r="AA120" i="2"/>
  <c r="AO120" i="2"/>
  <c r="AO115" i="2" s="1"/>
  <c r="H121" i="2"/>
  <c r="M121" i="2"/>
  <c r="O121" i="2"/>
  <c r="Q121" i="2"/>
  <c r="S121" i="2"/>
  <c r="Z121" i="2"/>
  <c r="AB121" i="2"/>
  <c r="AC121" i="2"/>
  <c r="AF121" i="2"/>
  <c r="AG121" i="2" s="1"/>
  <c r="H122" i="2"/>
  <c r="M122" i="2"/>
  <c r="O122" i="2"/>
  <c r="Q122" i="2"/>
  <c r="S122" i="2"/>
  <c r="Z122" i="2"/>
  <c r="AB122" i="2"/>
  <c r="AC122" i="2"/>
  <c r="AF122" i="2"/>
  <c r="AG122" i="2" s="1"/>
  <c r="AK122" i="2"/>
  <c r="AK120" i="2" s="1"/>
  <c r="H123" i="2"/>
  <c r="M123" i="2"/>
  <c r="O123" i="2"/>
  <c r="Q123" i="2"/>
  <c r="S123" i="2"/>
  <c r="Z123" i="2"/>
  <c r="AB123" i="2"/>
  <c r="AC123" i="2"/>
  <c r="AF123" i="2"/>
  <c r="AG123" i="2" s="1"/>
  <c r="H124" i="2"/>
  <c r="M124" i="2"/>
  <c r="O124" i="2"/>
  <c r="Q124" i="2"/>
  <c r="S124" i="2"/>
  <c r="AD124" i="2"/>
  <c r="AF124" i="2"/>
  <c r="AG124" i="2" s="1"/>
  <c r="H125" i="2"/>
  <c r="J125" i="2"/>
  <c r="L125" i="2"/>
  <c r="N125" i="2"/>
  <c r="P125" i="2"/>
  <c r="R125" i="2"/>
  <c r="T125" i="2"/>
  <c r="U125" i="2"/>
  <c r="V125" i="2"/>
  <c r="W125" i="2"/>
  <c r="X125" i="2"/>
  <c r="AA125" i="2"/>
  <c r="Z126" i="2"/>
  <c r="AC126" i="2"/>
  <c r="Y126" i="2" s="1"/>
  <c r="AF126" i="2"/>
  <c r="H127" i="2"/>
  <c r="M127" i="2"/>
  <c r="O127" i="2"/>
  <c r="Q127" i="2"/>
  <c r="S127" i="2"/>
  <c r="Z127" i="2"/>
  <c r="AB127" i="2"/>
  <c r="AC127" i="2"/>
  <c r="Y127" i="2" s="1"/>
  <c r="AF127" i="2"/>
  <c r="AG127" i="2" s="1"/>
  <c r="H128" i="2"/>
  <c r="G129" i="2"/>
  <c r="AE129" i="2"/>
  <c r="AE128" i="2" s="1"/>
  <c r="H130" i="2"/>
  <c r="M130" i="2"/>
  <c r="Q130" i="2"/>
  <c r="S130" i="2"/>
  <c r="Z130" i="2"/>
  <c r="AC130" i="2"/>
  <c r="AF130" i="2"/>
  <c r="AG130" i="2" s="1"/>
  <c r="F131" i="2"/>
  <c r="F129" i="2" s="1"/>
  <c r="H131" i="2"/>
  <c r="J131" i="2"/>
  <c r="K131" i="2"/>
  <c r="AR131" i="2" s="1"/>
  <c r="L131" i="2"/>
  <c r="N131" i="2"/>
  <c r="P131" i="2"/>
  <c r="R131" i="2"/>
  <c r="T131" i="2"/>
  <c r="U131" i="2"/>
  <c r="V131" i="2"/>
  <c r="W131" i="2"/>
  <c r="X131" i="2"/>
  <c r="M132" i="2"/>
  <c r="Z132" i="2"/>
  <c r="AC132" i="2"/>
  <c r="Y132" i="2" s="1"/>
  <c r="AF132" i="2"/>
  <c r="M133" i="2"/>
  <c r="Z133" i="2"/>
  <c r="AC133" i="2"/>
  <c r="Y133" i="2" s="1"/>
  <c r="AF133" i="2"/>
  <c r="H134" i="2"/>
  <c r="M134" i="2"/>
  <c r="O134" i="2"/>
  <c r="Q134" i="2"/>
  <c r="S134" i="2"/>
  <c r="Z134" i="2"/>
  <c r="AC134" i="2"/>
  <c r="AF134" i="2"/>
  <c r="AG134" i="2" s="1"/>
  <c r="J135" i="2"/>
  <c r="K135" i="2"/>
  <c r="L135" i="2"/>
  <c r="N135" i="2"/>
  <c r="P135" i="2"/>
  <c r="R135" i="2"/>
  <c r="T135" i="2"/>
  <c r="U135" i="2"/>
  <c r="V135" i="2"/>
  <c r="W135" i="2"/>
  <c r="X135" i="2"/>
  <c r="AA135" i="2"/>
  <c r="AA129" i="2" s="1"/>
  <c r="H136" i="2"/>
  <c r="M136" i="2"/>
  <c r="O136" i="2"/>
  <c r="Q136" i="2"/>
  <c r="S136" i="2"/>
  <c r="Z136" i="2"/>
  <c r="AC136" i="2"/>
  <c r="Y136" i="2" s="1"/>
  <c r="AF136" i="2"/>
  <c r="AG136" i="2" s="1"/>
  <c r="H137" i="2"/>
  <c r="M137" i="2"/>
  <c r="O137" i="2"/>
  <c r="Q137" i="2"/>
  <c r="S137" i="2"/>
  <c r="Z137" i="2"/>
  <c r="AC137" i="2"/>
  <c r="Y137" i="2" s="1"/>
  <c r="AF137" i="2"/>
  <c r="AG137" i="2" s="1"/>
  <c r="F139" i="2"/>
  <c r="AK139" i="2"/>
  <c r="F140" i="2"/>
  <c r="H140" i="2"/>
  <c r="J140" i="2"/>
  <c r="J139" i="2" s="1"/>
  <c r="K140" i="2"/>
  <c r="L140" i="2"/>
  <c r="N140" i="2"/>
  <c r="N139" i="2" s="1"/>
  <c r="P140" i="2"/>
  <c r="R140" i="2"/>
  <c r="T140" i="2"/>
  <c r="U140" i="2"/>
  <c r="U139" i="2" s="1"/>
  <c r="V140" i="2"/>
  <c r="V139" i="2" s="1"/>
  <c r="W140" i="2"/>
  <c r="W139" i="2" s="1"/>
  <c r="X140" i="2"/>
  <c r="X139" i="2" s="1"/>
  <c r="AA140" i="2"/>
  <c r="AA139" i="2" s="1"/>
  <c r="AE140" i="2"/>
  <c r="M141" i="2"/>
  <c r="O141" i="2"/>
  <c r="Q141" i="2"/>
  <c r="S141" i="2"/>
  <c r="Z141" i="2"/>
  <c r="AB141" i="2"/>
  <c r="AC141" i="2"/>
  <c r="AF141" i="2"/>
  <c r="AG141" i="2" s="1"/>
  <c r="M142" i="2"/>
  <c r="O142" i="2"/>
  <c r="Q142" i="2"/>
  <c r="S142" i="2"/>
  <c r="Z142" i="2"/>
  <c r="AC142" i="2"/>
  <c r="Y142" i="2" s="1"/>
  <c r="AF142" i="2"/>
  <c r="AG142" i="2" s="1"/>
  <c r="H143" i="2"/>
  <c r="M143" i="2"/>
  <c r="O143" i="2"/>
  <c r="Q143" i="2"/>
  <c r="S143" i="2"/>
  <c r="Z143" i="2"/>
  <c r="AC143" i="2"/>
  <c r="AD143" i="2" s="1"/>
  <c r="AF143" i="2"/>
  <c r="AG143" i="2" s="1"/>
  <c r="F144" i="2"/>
  <c r="K144" i="2"/>
  <c r="AR144" i="2" s="1"/>
  <c r="L144" i="2"/>
  <c r="N144" i="2"/>
  <c r="P144" i="2"/>
  <c r="Q144" i="2" s="1"/>
  <c r="R144" i="2"/>
  <c r="T144" i="2"/>
  <c r="U144" i="2"/>
  <c r="V144" i="2"/>
  <c r="W144" i="2"/>
  <c r="X144" i="2"/>
  <c r="AA144" i="2"/>
  <c r="M145" i="2"/>
  <c r="O145" i="2"/>
  <c r="Q145" i="2"/>
  <c r="S145" i="2"/>
  <c r="Z145" i="2"/>
  <c r="AC145" i="2"/>
  <c r="Y145" i="2" s="1"/>
  <c r="AG145" i="2"/>
  <c r="H146" i="2"/>
  <c r="M146" i="2"/>
  <c r="O146" i="2"/>
  <c r="Q146" i="2"/>
  <c r="S146" i="2"/>
  <c r="Z146" i="2"/>
  <c r="AB146" i="2"/>
  <c r="AC146" i="2"/>
  <c r="AF146" i="2"/>
  <c r="AG146" i="2" s="1"/>
  <c r="H148" i="2"/>
  <c r="M148" i="2"/>
  <c r="O148" i="2"/>
  <c r="Z148" i="2"/>
  <c r="AC148" i="2"/>
  <c r="Y148" i="2" s="1"/>
  <c r="AF148" i="2"/>
  <c r="AG148" i="2" s="1"/>
  <c r="H150" i="2"/>
  <c r="H149" i="2" s="1"/>
  <c r="J150" i="2"/>
  <c r="J149" i="2" s="1"/>
  <c r="K150" i="2"/>
  <c r="L150" i="2"/>
  <c r="N150" i="2"/>
  <c r="N149" i="2" s="1"/>
  <c r="P150" i="2"/>
  <c r="P149" i="2" s="1"/>
  <c r="Q149" i="2" s="1"/>
  <c r="R150" i="2"/>
  <c r="R149" i="2" s="1"/>
  <c r="T150" i="2"/>
  <c r="U150" i="2"/>
  <c r="U149" i="2" s="1"/>
  <c r="V150" i="2"/>
  <c r="V149" i="2" s="1"/>
  <c r="W150" i="2"/>
  <c r="W149" i="2" s="1"/>
  <c r="X150" i="2"/>
  <c r="X149" i="2" s="1"/>
  <c r="AA150" i="2"/>
  <c r="AA149" i="2" s="1"/>
  <c r="AE150" i="2"/>
  <c r="AE149" i="2" s="1"/>
  <c r="M151" i="2"/>
  <c r="O151" i="2"/>
  <c r="Q151" i="2"/>
  <c r="S151" i="2"/>
  <c r="Z151" i="2"/>
  <c r="AC151" i="2"/>
  <c r="AF151" i="2"/>
  <c r="AG151" i="2" s="1"/>
  <c r="L156" i="2"/>
  <c r="N156" i="2"/>
  <c r="P156" i="2"/>
  <c r="R156" i="2"/>
  <c r="T156" i="2"/>
  <c r="U156" i="2"/>
  <c r="V156" i="2"/>
  <c r="W156" i="2"/>
  <c r="X156" i="2"/>
  <c r="AA156" i="2"/>
  <c r="AE156" i="2"/>
  <c r="AH156" i="2"/>
  <c r="AI156" i="2"/>
  <c r="F157" i="2"/>
  <c r="H157" i="2"/>
  <c r="J157" i="2"/>
  <c r="AK157" i="2" s="1"/>
  <c r="Z157" i="2"/>
  <c r="AC157" i="2"/>
  <c r="Y157" i="2" s="1"/>
  <c r="F158" i="2"/>
  <c r="H158" i="2"/>
  <c r="J158" i="2"/>
  <c r="Z158" i="2"/>
  <c r="AC158" i="2"/>
  <c r="K159" i="2"/>
  <c r="L159" i="2"/>
  <c r="N159" i="2"/>
  <c r="P159" i="2"/>
  <c r="R159" i="2"/>
  <c r="T159" i="2"/>
  <c r="U159" i="2"/>
  <c r="V159" i="2"/>
  <c r="W159" i="2"/>
  <c r="X159" i="2"/>
  <c r="AA159" i="2"/>
  <c r="AB159" i="2"/>
  <c r="AE159" i="2"/>
  <c r="AH159" i="2"/>
  <c r="AI159" i="2"/>
  <c r="F160" i="2"/>
  <c r="H160" i="2"/>
  <c r="J160" i="2"/>
  <c r="AG160" i="2" s="1"/>
  <c r="AG159" i="2" s="1"/>
  <c r="Z160" i="2"/>
  <c r="AC160" i="2"/>
  <c r="F161" i="2"/>
  <c r="H161" i="2"/>
  <c r="J161" i="2"/>
  <c r="Z161" i="2"/>
  <c r="AC161" i="2"/>
  <c r="Y161" i="2" s="1"/>
  <c r="AO161" i="2"/>
  <c r="F163" i="2"/>
  <c r="H163" i="2"/>
  <c r="J163" i="2"/>
  <c r="Q163" i="2" s="1"/>
  <c r="Z163" i="2"/>
  <c r="AC163" i="2"/>
  <c r="Y163" i="2" s="1"/>
  <c r="F164" i="2"/>
  <c r="H164" i="2"/>
  <c r="J164" i="2"/>
  <c r="S164" i="2" s="1"/>
  <c r="Z164" i="2"/>
  <c r="AC164" i="2"/>
  <c r="K165" i="2"/>
  <c r="AM165" i="2" s="1"/>
  <c r="L165" i="2"/>
  <c r="L162" i="2" s="1"/>
  <c r="N165" i="2"/>
  <c r="N162" i="2" s="1"/>
  <c r="P165" i="2"/>
  <c r="P162" i="2" s="1"/>
  <c r="R165" i="2"/>
  <c r="R162" i="2" s="1"/>
  <c r="T165" i="2"/>
  <c r="T162" i="2" s="1"/>
  <c r="U165" i="2"/>
  <c r="U162" i="2" s="1"/>
  <c r="V165" i="2"/>
  <c r="V162" i="2" s="1"/>
  <c r="W165" i="2"/>
  <c r="W162" i="2" s="1"/>
  <c r="X165" i="2"/>
  <c r="X162" i="2" s="1"/>
  <c r="AA165" i="2"/>
  <c r="AA162" i="2" s="1"/>
  <c r="AE165" i="2"/>
  <c r="AE162" i="2" s="1"/>
  <c r="AH165" i="2"/>
  <c r="AH162" i="2" s="1"/>
  <c r="AI165" i="2"/>
  <c r="AI162" i="2" s="1"/>
  <c r="F166" i="2"/>
  <c r="H166" i="2"/>
  <c r="J166" i="2"/>
  <c r="Z166" i="2"/>
  <c r="AC166" i="2"/>
  <c r="F167" i="2"/>
  <c r="H167" i="2"/>
  <c r="J167" i="2"/>
  <c r="AB167" i="2" s="1"/>
  <c r="AB165" i="2" s="1"/>
  <c r="AB162" i="2" s="1"/>
  <c r="Z167" i="2"/>
  <c r="AC167" i="2"/>
  <c r="K169" i="2"/>
  <c r="L169" i="2"/>
  <c r="L168" i="2" s="1"/>
  <c r="N169" i="2"/>
  <c r="N168" i="2" s="1"/>
  <c r="P169" i="2"/>
  <c r="P168" i="2" s="1"/>
  <c r="R169" i="2"/>
  <c r="R168" i="2" s="1"/>
  <c r="T169" i="2"/>
  <c r="T168" i="2" s="1"/>
  <c r="U169" i="2"/>
  <c r="U168" i="2" s="1"/>
  <c r="V169" i="2"/>
  <c r="V168" i="2" s="1"/>
  <c r="W169" i="2"/>
  <c r="W168" i="2" s="1"/>
  <c r="X169" i="2"/>
  <c r="X168" i="2" s="1"/>
  <c r="AA169" i="2"/>
  <c r="AA168" i="2" s="1"/>
  <c r="AB169" i="2"/>
  <c r="AE169" i="2"/>
  <c r="AE168" i="2" s="1"/>
  <c r="AH169" i="2"/>
  <c r="AH168" i="2" s="1"/>
  <c r="AI169" i="2"/>
  <c r="AI168" i="2" s="1"/>
  <c r="F170" i="2"/>
  <c r="H170" i="2"/>
  <c r="J170" i="2"/>
  <c r="S170" i="2" s="1"/>
  <c r="Z170" i="2"/>
  <c r="AC170" i="2"/>
  <c r="F171" i="2"/>
  <c r="H171" i="2"/>
  <c r="J171" i="2"/>
  <c r="M171" i="2" s="1"/>
  <c r="Z171" i="2"/>
  <c r="AC171" i="2"/>
  <c r="F172" i="2"/>
  <c r="H172" i="2"/>
  <c r="J172" i="2"/>
  <c r="Z172" i="2"/>
  <c r="AC172" i="2"/>
  <c r="F173" i="2"/>
  <c r="H173" i="2"/>
  <c r="J173" i="2"/>
  <c r="M173" i="2" s="1"/>
  <c r="Z173" i="2"/>
  <c r="AC173" i="2"/>
  <c r="Y173" i="2" s="1"/>
  <c r="AO173" i="2"/>
  <c r="F174" i="2"/>
  <c r="H174" i="2"/>
  <c r="J174" i="2"/>
  <c r="AF174" i="2" s="1"/>
  <c r="AG174" i="2" s="1"/>
  <c r="Z174" i="2"/>
  <c r="AC174" i="2"/>
  <c r="Y174" i="2" s="1"/>
  <c r="F175" i="2"/>
  <c r="H175" i="2"/>
  <c r="J175" i="2"/>
  <c r="AF175" i="2" s="1"/>
  <c r="AG175" i="2" s="1"/>
  <c r="Z175" i="2"/>
  <c r="AC175" i="2"/>
  <c r="Y175" i="2" s="1"/>
  <c r="F176" i="2"/>
  <c r="H176" i="2"/>
  <c r="J176" i="2"/>
  <c r="AF176" i="2" s="1"/>
  <c r="AG176" i="2" s="1"/>
  <c r="Z176" i="2"/>
  <c r="AC176" i="2"/>
  <c r="Y176" i="2" s="1"/>
  <c r="AO176" i="2"/>
  <c r="F177" i="2"/>
  <c r="H177" i="2"/>
  <c r="J177" i="2"/>
  <c r="Z177" i="2"/>
  <c r="AC177" i="2"/>
  <c r="K179" i="2"/>
  <c r="L179" i="2"/>
  <c r="N179" i="2"/>
  <c r="P179" i="2"/>
  <c r="R179" i="2"/>
  <c r="T179" i="2"/>
  <c r="U179" i="2"/>
  <c r="V179" i="2"/>
  <c r="W179" i="2"/>
  <c r="X179" i="2"/>
  <c r="AA179" i="2"/>
  <c r="AE179" i="2"/>
  <c r="AH179" i="2"/>
  <c r="AI179" i="2"/>
  <c r="F180" i="2"/>
  <c r="H180" i="2"/>
  <c r="J180" i="2"/>
  <c r="Z180" i="2"/>
  <c r="AC180" i="2"/>
  <c r="Y180" i="2" s="1"/>
  <c r="F181" i="2"/>
  <c r="H181" i="2"/>
  <c r="J181" i="2"/>
  <c r="Z181" i="2"/>
  <c r="AC181" i="2"/>
  <c r="F182" i="2"/>
  <c r="H182" i="2"/>
  <c r="J182" i="2"/>
  <c r="M182" i="2" s="1"/>
  <c r="Z182" i="2"/>
  <c r="AC182" i="2"/>
  <c r="Y182" i="2" s="1"/>
  <c r="L183" i="2"/>
  <c r="N183" i="2"/>
  <c r="P183" i="2"/>
  <c r="R183" i="2"/>
  <c r="T183" i="2"/>
  <c r="U183" i="2"/>
  <c r="V183" i="2"/>
  <c r="W183" i="2"/>
  <c r="X183" i="2"/>
  <c r="AA183" i="2"/>
  <c r="AB183" i="2"/>
  <c r="AE183" i="2"/>
  <c r="AH183" i="2"/>
  <c r="AI183" i="2"/>
  <c r="F184" i="2"/>
  <c r="H184" i="2"/>
  <c r="J184" i="2"/>
  <c r="Z184" i="2"/>
  <c r="AC184" i="2"/>
  <c r="F185" i="2"/>
  <c r="H185" i="2"/>
  <c r="J185" i="2"/>
  <c r="S185" i="2" s="1"/>
  <c r="Z185" i="2"/>
  <c r="AC185" i="2"/>
  <c r="Y185" i="2" s="1"/>
  <c r="F188" i="2"/>
  <c r="H188" i="2"/>
  <c r="J188" i="2"/>
  <c r="Q188" i="2" s="1"/>
  <c r="Z188" i="2"/>
  <c r="AC188" i="2"/>
  <c r="F189" i="2"/>
  <c r="H189" i="2"/>
  <c r="J189" i="2"/>
  <c r="Q189" i="2" s="1"/>
  <c r="Z189" i="2"/>
  <c r="AC189" i="2"/>
  <c r="Y189" i="2" s="1"/>
  <c r="K190" i="2"/>
  <c r="AM190" i="2" s="1"/>
  <c r="L190" i="2"/>
  <c r="L187" i="2" s="1"/>
  <c r="N190" i="2"/>
  <c r="N187" i="2" s="1"/>
  <c r="P190" i="2"/>
  <c r="P187" i="2" s="1"/>
  <c r="R190" i="2"/>
  <c r="R187" i="2" s="1"/>
  <c r="T190" i="2"/>
  <c r="T187" i="2" s="1"/>
  <c r="U190" i="2"/>
  <c r="U187" i="2" s="1"/>
  <c r="V190" i="2"/>
  <c r="V187" i="2" s="1"/>
  <c r="W190" i="2"/>
  <c r="W187" i="2" s="1"/>
  <c r="X190" i="2"/>
  <c r="X187" i="2" s="1"/>
  <c r="AA190" i="2"/>
  <c r="AA187" i="2" s="1"/>
  <c r="AB190" i="2"/>
  <c r="AE190" i="2"/>
  <c r="AE187" i="2" s="1"/>
  <c r="AH190" i="2"/>
  <c r="AH187" i="2" s="1"/>
  <c r="AI190" i="2"/>
  <c r="AI187" i="2" s="1"/>
  <c r="F191" i="2"/>
  <c r="H191" i="2"/>
  <c r="J191" i="2"/>
  <c r="Z191" i="2"/>
  <c r="AC191" i="2"/>
  <c r="F192" i="2"/>
  <c r="H192" i="2"/>
  <c r="J192" i="2"/>
  <c r="O192" i="2" s="1"/>
  <c r="Z192" i="2"/>
  <c r="AC192" i="2"/>
  <c r="Y192" i="2" s="1"/>
  <c r="F193" i="2"/>
  <c r="H193" i="2"/>
  <c r="J193" i="2"/>
  <c r="Q193" i="2" s="1"/>
  <c r="Z193" i="2"/>
  <c r="AC193" i="2"/>
  <c r="Y193" i="2" s="1"/>
  <c r="F194" i="2"/>
  <c r="H194" i="2"/>
  <c r="J194" i="2"/>
  <c r="Z194" i="2"/>
  <c r="AC194" i="2"/>
  <c r="K196" i="2"/>
  <c r="L196" i="2"/>
  <c r="N196" i="2"/>
  <c r="P196" i="2"/>
  <c r="R196" i="2"/>
  <c r="T196" i="2"/>
  <c r="U196" i="2"/>
  <c r="V196" i="2"/>
  <c r="W196" i="2"/>
  <c r="X196" i="2"/>
  <c r="AA196" i="2"/>
  <c r="AB196" i="2"/>
  <c r="AE196" i="2"/>
  <c r="AH196" i="2"/>
  <c r="AI196" i="2"/>
  <c r="F197" i="2"/>
  <c r="H197" i="2"/>
  <c r="J197" i="2"/>
  <c r="O197" i="2" s="1"/>
  <c r="Z197" i="2"/>
  <c r="AC197" i="2"/>
  <c r="Y197" i="2" s="1"/>
  <c r="AO197" i="2"/>
  <c r="F198" i="2"/>
  <c r="H198" i="2"/>
  <c r="J198" i="2"/>
  <c r="Z198" i="2"/>
  <c r="AC198" i="2"/>
  <c r="Y198" i="2" s="1"/>
  <c r="F199" i="2"/>
  <c r="H199" i="2"/>
  <c r="J199" i="2"/>
  <c r="AF199" i="2" s="1"/>
  <c r="AG199" i="2" s="1"/>
  <c r="Z199" i="2"/>
  <c r="AC199" i="2"/>
  <c r="Y199" i="2" s="1"/>
  <c r="F200" i="2"/>
  <c r="H200" i="2"/>
  <c r="J200" i="2"/>
  <c r="Z200" i="2"/>
  <c r="AC200" i="2"/>
  <c r="Y200" i="2" s="1"/>
  <c r="K201" i="2"/>
  <c r="AR201" i="2" s="1"/>
  <c r="L201" i="2"/>
  <c r="M201" i="2"/>
  <c r="N201" i="2"/>
  <c r="O201" i="2"/>
  <c r="P201" i="2"/>
  <c r="Q201" i="2"/>
  <c r="R201" i="2"/>
  <c r="S201" i="2"/>
  <c r="T201" i="2"/>
  <c r="U201" i="2"/>
  <c r="V201" i="2"/>
  <c r="W201" i="2"/>
  <c r="X201" i="2"/>
  <c r="AA201" i="2"/>
  <c r="AB201" i="2"/>
  <c r="AD201" i="2"/>
  <c r="AE201" i="2"/>
  <c r="AG201" i="2"/>
  <c r="AH201" i="2"/>
  <c r="AI201" i="2"/>
  <c r="F202" i="2"/>
  <c r="H202" i="2"/>
  <c r="J202" i="2"/>
  <c r="AF202" i="2" s="1"/>
  <c r="Z202" i="2"/>
  <c r="AC202" i="2"/>
  <c r="F203" i="2"/>
  <c r="H203" i="2"/>
  <c r="J203" i="2"/>
  <c r="Z203" i="2"/>
  <c r="AC203" i="2"/>
  <c r="Y203" i="2" s="1"/>
  <c r="K205" i="2"/>
  <c r="L205" i="2"/>
  <c r="N205" i="2"/>
  <c r="P205" i="2"/>
  <c r="R205" i="2"/>
  <c r="T205" i="2"/>
  <c r="U205" i="2"/>
  <c r="V205" i="2"/>
  <c r="W205" i="2"/>
  <c r="X205" i="2"/>
  <c r="AA205" i="2"/>
  <c r="AE205" i="2"/>
  <c r="AH205" i="2"/>
  <c r="AI205" i="2"/>
  <c r="F206" i="2"/>
  <c r="H206" i="2"/>
  <c r="J206" i="2"/>
  <c r="Z206" i="2"/>
  <c r="AC206" i="2"/>
  <c r="F207" i="2"/>
  <c r="H207" i="2"/>
  <c r="J207" i="2"/>
  <c r="Q207" i="2" s="1"/>
  <c r="Z207" i="2"/>
  <c r="AC207" i="2"/>
  <c r="Y207" i="2" s="1"/>
  <c r="F208" i="2"/>
  <c r="H208" i="2"/>
  <c r="J208" i="2"/>
  <c r="Z208" i="2"/>
  <c r="AC208" i="2"/>
  <c r="F209" i="2"/>
  <c r="H209" i="2"/>
  <c r="J209" i="2"/>
  <c r="Q209" i="2" s="1"/>
  <c r="Z209" i="2"/>
  <c r="AC209" i="2"/>
  <c r="Y209" i="2" s="1"/>
  <c r="F210" i="2"/>
  <c r="H210" i="2"/>
  <c r="J210" i="2"/>
  <c r="Q210" i="2" s="1"/>
  <c r="Z210" i="2"/>
  <c r="AC210" i="2"/>
  <c r="F211" i="2"/>
  <c r="H211" i="2"/>
  <c r="J211" i="2"/>
  <c r="O211" i="2" s="1"/>
  <c r="Z211" i="2"/>
  <c r="AC211" i="2"/>
  <c r="K212" i="2"/>
  <c r="L212" i="2"/>
  <c r="N212" i="2"/>
  <c r="P212" i="2"/>
  <c r="R212" i="2"/>
  <c r="T212" i="2"/>
  <c r="U212" i="2"/>
  <c r="V212" i="2"/>
  <c r="W212" i="2"/>
  <c r="X212" i="2"/>
  <c r="AA212" i="2"/>
  <c r="AB212" i="2"/>
  <c r="AE212" i="2"/>
  <c r="AF212" i="2"/>
  <c r="AH212" i="2"/>
  <c r="AI212" i="2"/>
  <c r="AJ212" i="2"/>
  <c r="F213" i="2"/>
  <c r="F212" i="2" s="1"/>
  <c r="H213" i="2"/>
  <c r="H212" i="2" s="1"/>
  <c r="J213" i="2"/>
  <c r="Z213" i="2"/>
  <c r="Z212" i="2" s="1"/>
  <c r="AC213" i="2"/>
  <c r="AC212" i="2" s="1"/>
  <c r="F216" i="2"/>
  <c r="H216" i="2"/>
  <c r="J216" i="2"/>
  <c r="S216" i="2" s="1"/>
  <c r="Z216" i="2"/>
  <c r="AC216" i="2"/>
  <c r="F217" i="2"/>
  <c r="H217" i="2"/>
  <c r="J217" i="2"/>
  <c r="S217" i="2" s="1"/>
  <c r="Z217" i="2"/>
  <c r="AC217" i="2"/>
  <c r="F218" i="2"/>
  <c r="H218" i="2"/>
  <c r="J218" i="2"/>
  <c r="Q218" i="2" s="1"/>
  <c r="Z218" i="2"/>
  <c r="AC218" i="2"/>
  <c r="Y218" i="2" s="1"/>
  <c r="K219" i="2"/>
  <c r="L219" i="2"/>
  <c r="L215" i="2" s="1"/>
  <c r="N219" i="2"/>
  <c r="N215" i="2" s="1"/>
  <c r="P219" i="2"/>
  <c r="P215" i="2" s="1"/>
  <c r="R219" i="2"/>
  <c r="R215" i="2" s="1"/>
  <c r="T219" i="2"/>
  <c r="T215" i="2" s="1"/>
  <c r="U219" i="2"/>
  <c r="U215" i="2" s="1"/>
  <c r="V219" i="2"/>
  <c r="V215" i="2" s="1"/>
  <c r="W219" i="2"/>
  <c r="W215" i="2" s="1"/>
  <c r="X219" i="2"/>
  <c r="X215" i="2" s="1"/>
  <c r="AA219" i="2"/>
  <c r="AA215" i="2" s="1"/>
  <c r="AB219" i="2"/>
  <c r="AE219" i="2"/>
  <c r="AE215" i="2" s="1"/>
  <c r="AH219" i="2"/>
  <c r="AH215" i="2" s="1"/>
  <c r="AI219" i="2"/>
  <c r="AI215" i="2" s="1"/>
  <c r="F220" i="2"/>
  <c r="H220" i="2"/>
  <c r="J220" i="2"/>
  <c r="S220" i="2" s="1"/>
  <c r="Z220" i="2"/>
  <c r="AC220" i="2"/>
  <c r="F221" i="2"/>
  <c r="H221" i="2"/>
  <c r="J221" i="2"/>
  <c r="Z221" i="2"/>
  <c r="AC221" i="2"/>
  <c r="Y221" i="2" s="1"/>
  <c r="K223" i="2"/>
  <c r="AR223" i="2" s="1"/>
  <c r="L223" i="2"/>
  <c r="L222" i="2" s="1"/>
  <c r="N223" i="2"/>
  <c r="N222" i="2" s="1"/>
  <c r="P223" i="2"/>
  <c r="P222" i="2" s="1"/>
  <c r="R223" i="2"/>
  <c r="R222" i="2" s="1"/>
  <c r="T223" i="2"/>
  <c r="T222" i="2" s="1"/>
  <c r="U223" i="2"/>
  <c r="U222" i="2" s="1"/>
  <c r="V223" i="2"/>
  <c r="V222" i="2" s="1"/>
  <c r="W223" i="2"/>
  <c r="W222" i="2" s="1"/>
  <c r="X223" i="2"/>
  <c r="X222" i="2" s="1"/>
  <c r="AA223" i="2"/>
  <c r="AA222" i="2" s="1"/>
  <c r="AE223" i="2"/>
  <c r="AE222" i="2" s="1"/>
  <c r="AH223" i="2"/>
  <c r="AH222" i="2" s="1"/>
  <c r="AI223" i="2"/>
  <c r="AI222" i="2" s="1"/>
  <c r="F224" i="2"/>
  <c r="H224" i="2"/>
  <c r="J224" i="2"/>
  <c r="Z224" i="2"/>
  <c r="AC224" i="2"/>
  <c r="F225" i="2"/>
  <c r="H225" i="2"/>
  <c r="J225" i="2"/>
  <c r="Z225" i="2"/>
  <c r="AC225" i="2"/>
  <c r="Y225" i="2" s="1"/>
  <c r="F226" i="2"/>
  <c r="H226" i="2"/>
  <c r="J226" i="2"/>
  <c r="Z226" i="2"/>
  <c r="AC226" i="2"/>
  <c r="Y226" i="2" s="1"/>
  <c r="F227" i="2"/>
  <c r="H227" i="2"/>
  <c r="J227" i="2"/>
  <c r="AF227" i="2" s="1"/>
  <c r="AG227" i="2" s="1"/>
  <c r="Z227" i="2"/>
  <c r="AC227" i="2"/>
  <c r="Y227" i="2" s="1"/>
  <c r="K228" i="2"/>
  <c r="L228" i="2"/>
  <c r="N228" i="2"/>
  <c r="P228" i="2"/>
  <c r="R228" i="2"/>
  <c r="T228" i="2"/>
  <c r="U228" i="2"/>
  <c r="V228" i="2"/>
  <c r="W228" i="2"/>
  <c r="X228" i="2"/>
  <c r="AA228" i="2"/>
  <c r="AB228" i="2"/>
  <c r="AE228" i="2"/>
  <c r="AH228" i="2"/>
  <c r="AI228" i="2"/>
  <c r="F229" i="2"/>
  <c r="H229" i="2"/>
  <c r="J229" i="2"/>
  <c r="Q229" i="2" s="1"/>
  <c r="Z229" i="2"/>
  <c r="AC229" i="2"/>
  <c r="Y229" i="2" s="1"/>
  <c r="F230" i="2"/>
  <c r="H230" i="2"/>
  <c r="J230" i="2"/>
  <c r="Q230" i="2" s="1"/>
  <c r="Z230" i="2"/>
  <c r="AC230" i="2"/>
  <c r="Y230" i="2" s="1"/>
  <c r="F231" i="2"/>
  <c r="H231" i="2"/>
  <c r="J231" i="2"/>
  <c r="Q231" i="2" s="1"/>
  <c r="Z231" i="2"/>
  <c r="AC231" i="2"/>
  <c r="Y231" i="2" s="1"/>
  <c r="K232" i="2"/>
  <c r="L232" i="2"/>
  <c r="N232" i="2"/>
  <c r="P232" i="2"/>
  <c r="R232" i="2"/>
  <c r="T232" i="2"/>
  <c r="U232" i="2"/>
  <c r="V232" i="2"/>
  <c r="W232" i="2"/>
  <c r="X232" i="2"/>
  <c r="AA232" i="2"/>
  <c r="AE232" i="2"/>
  <c r="AH232" i="2"/>
  <c r="AI232" i="2"/>
  <c r="F233" i="2"/>
  <c r="H233" i="2"/>
  <c r="J233" i="2"/>
  <c r="Z233" i="2"/>
  <c r="AC233" i="2"/>
  <c r="Y233" i="2" s="1"/>
  <c r="F234" i="2"/>
  <c r="H234" i="2"/>
  <c r="J234" i="2"/>
  <c r="AB234" i="2" s="1"/>
  <c r="Z234" i="2"/>
  <c r="AC234" i="2"/>
  <c r="F237" i="2"/>
  <c r="H237" i="2"/>
  <c r="J237" i="2"/>
  <c r="Z237" i="2"/>
  <c r="AC237" i="2"/>
  <c r="K238" i="2"/>
  <c r="L238" i="2"/>
  <c r="L236" i="2" s="1"/>
  <c r="N238" i="2"/>
  <c r="N236" i="2" s="1"/>
  <c r="P238" i="2"/>
  <c r="P236" i="2" s="1"/>
  <c r="R238" i="2"/>
  <c r="R236" i="2" s="1"/>
  <c r="T238" i="2"/>
  <c r="T236" i="2" s="1"/>
  <c r="U238" i="2"/>
  <c r="U236" i="2" s="1"/>
  <c r="V238" i="2"/>
  <c r="V236" i="2" s="1"/>
  <c r="W238" i="2"/>
  <c r="W236" i="2" s="1"/>
  <c r="X238" i="2"/>
  <c r="X236" i="2" s="1"/>
  <c r="AA238" i="2"/>
  <c r="AA236" i="2" s="1"/>
  <c r="AB238" i="2"/>
  <c r="AE238" i="2"/>
  <c r="AE236" i="2" s="1"/>
  <c r="AH238" i="2"/>
  <c r="AH236" i="2" s="1"/>
  <c r="AI238" i="2"/>
  <c r="AI236" i="2" s="1"/>
  <c r="F239" i="2"/>
  <c r="H239" i="2"/>
  <c r="J239" i="2"/>
  <c r="O239" i="2" s="1"/>
  <c r="Z239" i="2"/>
  <c r="AC239" i="2"/>
  <c r="F240" i="2"/>
  <c r="H240" i="2"/>
  <c r="J240" i="2"/>
  <c r="M240" i="2" s="1"/>
  <c r="Z240" i="2"/>
  <c r="AC240" i="2"/>
  <c r="Y240" i="2" s="1"/>
  <c r="F241" i="2"/>
  <c r="H241" i="2"/>
  <c r="J241" i="2"/>
  <c r="M241" i="2" s="1"/>
  <c r="Z241" i="2"/>
  <c r="AC241" i="2"/>
  <c r="Y241" i="2" s="1"/>
  <c r="F242" i="2"/>
  <c r="H242" i="2"/>
  <c r="J242" i="2"/>
  <c r="Q242" i="2" s="1"/>
  <c r="Z242" i="2"/>
  <c r="AC242" i="2"/>
  <c r="Y242" i="2" s="1"/>
  <c r="F243" i="2"/>
  <c r="H243" i="2"/>
  <c r="J243" i="2"/>
  <c r="AF243" i="2" s="1"/>
  <c r="AG243" i="2" s="1"/>
  <c r="Z243" i="2"/>
  <c r="AC243" i="2"/>
  <c r="Y243" i="2" s="1"/>
  <c r="AO243" i="2"/>
  <c r="K245" i="2"/>
  <c r="L245" i="2"/>
  <c r="L244" i="2" s="1"/>
  <c r="N245" i="2"/>
  <c r="N244" i="2" s="1"/>
  <c r="P245" i="2"/>
  <c r="P244" i="2" s="1"/>
  <c r="R245" i="2"/>
  <c r="R244" i="2" s="1"/>
  <c r="T245" i="2"/>
  <c r="T244" i="2" s="1"/>
  <c r="U245" i="2"/>
  <c r="U244" i="2" s="1"/>
  <c r="V245" i="2"/>
  <c r="V244" i="2" s="1"/>
  <c r="W245" i="2"/>
  <c r="W244" i="2" s="1"/>
  <c r="AA245" i="2"/>
  <c r="AA244" i="2" s="1"/>
  <c r="AB245" i="2"/>
  <c r="AB244" i="2" s="1"/>
  <c r="AE245" i="2"/>
  <c r="AE244" i="2" s="1"/>
  <c r="AH245" i="2"/>
  <c r="AH244" i="2" s="1"/>
  <c r="AI245" i="2"/>
  <c r="AI244" i="2" s="1"/>
  <c r="F246" i="2"/>
  <c r="H246" i="2"/>
  <c r="J246" i="2"/>
  <c r="Z246" i="2"/>
  <c r="AC246" i="2"/>
  <c r="AO246" i="2"/>
  <c r="F247" i="2"/>
  <c r="H247" i="2"/>
  <c r="J247" i="2"/>
  <c r="O247" i="2" s="1"/>
  <c r="Z247" i="2"/>
  <c r="AC247" i="2"/>
  <c r="F248" i="2"/>
  <c r="H248" i="2"/>
  <c r="J248" i="2"/>
  <c r="S248" i="2" s="1"/>
  <c r="Z248" i="2"/>
  <c r="AC248" i="2"/>
  <c r="F249" i="2"/>
  <c r="H249" i="2"/>
  <c r="J249" i="2"/>
  <c r="Z249" i="2"/>
  <c r="AC249" i="2"/>
  <c r="Y249" i="2" s="1"/>
  <c r="F250" i="2"/>
  <c r="H250" i="2"/>
  <c r="J250" i="2"/>
  <c r="AF250" i="2" s="1"/>
  <c r="AG250" i="2" s="1"/>
  <c r="Z250" i="2"/>
  <c r="AC250" i="2"/>
  <c r="Y250" i="2" s="1"/>
  <c r="K252" i="2"/>
  <c r="L252" i="2"/>
  <c r="N252" i="2"/>
  <c r="P252" i="2"/>
  <c r="R252" i="2"/>
  <c r="T252" i="2"/>
  <c r="U252" i="2"/>
  <c r="V252" i="2"/>
  <c r="W252" i="2"/>
  <c r="X252" i="2"/>
  <c r="AA252" i="2"/>
  <c r="AE252" i="2"/>
  <c r="AH252" i="2"/>
  <c r="AH251" i="2" s="1"/>
  <c r="AI252" i="2"/>
  <c r="F253" i="2"/>
  <c r="H253" i="2"/>
  <c r="J253" i="2"/>
  <c r="Q253" i="2" s="1"/>
  <c r="Z253" i="2"/>
  <c r="AC253" i="2"/>
  <c r="AO253" i="2"/>
  <c r="F254" i="2"/>
  <c r="H254" i="2"/>
  <c r="J254" i="2"/>
  <c r="M254" i="2" s="1"/>
  <c r="Z254" i="2"/>
  <c r="AC254" i="2"/>
  <c r="Y254" i="2" s="1"/>
  <c r="K255" i="2"/>
  <c r="L255" i="2"/>
  <c r="N255" i="2"/>
  <c r="P255" i="2"/>
  <c r="R255" i="2"/>
  <c r="T255" i="2"/>
  <c r="U255" i="2"/>
  <c r="V255" i="2"/>
  <c r="W255" i="2"/>
  <c r="X255" i="2"/>
  <c r="AA255" i="2"/>
  <c r="AE255" i="2"/>
  <c r="AI255" i="2"/>
  <c r="AJ255" i="2"/>
  <c r="F256" i="2"/>
  <c r="F255" i="2" s="1"/>
  <c r="H256" i="2"/>
  <c r="H255" i="2" s="1"/>
  <c r="J256" i="2"/>
  <c r="Q256" i="2" s="1"/>
  <c r="Q255" i="2" s="1"/>
  <c r="Z256" i="2"/>
  <c r="AC256" i="2"/>
  <c r="AO256" i="2"/>
  <c r="K258" i="2"/>
  <c r="AM258" i="2" s="1"/>
  <c r="L258" i="2"/>
  <c r="L257" i="2" s="1"/>
  <c r="N258" i="2"/>
  <c r="N257" i="2" s="1"/>
  <c r="P258" i="2"/>
  <c r="P257" i="2" s="1"/>
  <c r="R258" i="2"/>
  <c r="R257" i="2" s="1"/>
  <c r="T258" i="2"/>
  <c r="T257" i="2" s="1"/>
  <c r="U258" i="2"/>
  <c r="U257" i="2" s="1"/>
  <c r="V258" i="2"/>
  <c r="V257" i="2" s="1"/>
  <c r="W258" i="2"/>
  <c r="W257" i="2" s="1"/>
  <c r="X258" i="2"/>
  <c r="X257" i="2" s="1"/>
  <c r="AA258" i="2"/>
  <c r="AA257" i="2" s="1"/>
  <c r="AB258" i="2"/>
  <c r="AB257" i="2" s="1"/>
  <c r="AE258" i="2"/>
  <c r="AE257" i="2" s="1"/>
  <c r="AH258" i="2"/>
  <c r="AH257" i="2" s="1"/>
  <c r="AI258" i="2"/>
  <c r="AI257" i="2" s="1"/>
  <c r="F259" i="2"/>
  <c r="F258" i="2" s="1"/>
  <c r="F257" i="2" s="1"/>
  <c r="H259" i="2"/>
  <c r="H258" i="2" s="1"/>
  <c r="H257" i="2" s="1"/>
  <c r="J259" i="2"/>
  <c r="AF259" i="2" s="1"/>
  <c r="Z259" i="2"/>
  <c r="Z258" i="2" s="1"/>
  <c r="Z257" i="2" s="1"/>
  <c r="AC259" i="2"/>
  <c r="AC258" i="2" s="1"/>
  <c r="AC257" i="2" s="1"/>
  <c r="K261" i="2"/>
  <c r="L261" i="2"/>
  <c r="L260" i="2" s="1"/>
  <c r="N261" i="2"/>
  <c r="N260" i="2" s="1"/>
  <c r="P261" i="2"/>
  <c r="P260" i="2" s="1"/>
  <c r="R261" i="2"/>
  <c r="R260" i="2" s="1"/>
  <c r="T261" i="2"/>
  <c r="T260" i="2" s="1"/>
  <c r="U261" i="2"/>
  <c r="U260" i="2" s="1"/>
  <c r="V261" i="2"/>
  <c r="V260" i="2" s="1"/>
  <c r="W261" i="2"/>
  <c r="W260" i="2" s="1"/>
  <c r="X261" i="2"/>
  <c r="X260" i="2" s="1"/>
  <c r="AA261" i="2"/>
  <c r="AA260" i="2" s="1"/>
  <c r="AB261" i="2"/>
  <c r="AB260" i="2" s="1"/>
  <c r="AE261" i="2"/>
  <c r="AE260" i="2" s="1"/>
  <c r="AH261" i="2"/>
  <c r="AH260" i="2" s="1"/>
  <c r="AI261" i="2"/>
  <c r="AI260" i="2" s="1"/>
  <c r="F262" i="2"/>
  <c r="F261" i="2" s="1"/>
  <c r="F260" i="2" s="1"/>
  <c r="H262" i="2"/>
  <c r="H261" i="2" s="1"/>
  <c r="H260" i="2" s="1"/>
  <c r="J262" i="2"/>
  <c r="S262" i="2" s="1"/>
  <c r="S261" i="2" s="1"/>
  <c r="S260" i="2" s="1"/>
  <c r="Z262" i="2"/>
  <c r="Z261" i="2" s="1"/>
  <c r="Z260" i="2" s="1"/>
  <c r="AC262" i="2"/>
  <c r="AR261" i="2" l="1"/>
  <c r="AM261" i="2"/>
  <c r="AR196" i="2"/>
  <c r="AM196" i="2"/>
  <c r="AR252" i="2"/>
  <c r="AM252" i="2"/>
  <c r="AR245" i="2"/>
  <c r="AM245" i="2"/>
  <c r="AR212" i="2"/>
  <c r="AM212" i="2"/>
  <c r="AR238" i="2"/>
  <c r="AM238" i="2"/>
  <c r="AR179" i="2"/>
  <c r="AM179" i="2"/>
  <c r="AR31" i="2"/>
  <c r="AM31" i="2"/>
  <c r="AR255" i="2"/>
  <c r="AM255" i="2"/>
  <c r="AR219" i="2"/>
  <c r="AM219" i="2"/>
  <c r="AR228" i="2"/>
  <c r="AM228" i="2"/>
  <c r="AR205" i="2"/>
  <c r="AM205" i="2"/>
  <c r="AR232" i="2"/>
  <c r="AM232" i="2"/>
  <c r="AR169" i="2"/>
  <c r="AM169" i="2"/>
  <c r="AR159" i="2"/>
  <c r="AM159" i="2"/>
  <c r="AR120" i="2"/>
  <c r="AM120" i="2"/>
  <c r="K187" i="2"/>
  <c r="AR190" i="2"/>
  <c r="K104" i="2"/>
  <c r="AR104" i="2" s="1"/>
  <c r="AR105" i="2"/>
  <c r="K95" i="2"/>
  <c r="AR95" i="2" s="1"/>
  <c r="AR97" i="2"/>
  <c r="K162" i="2"/>
  <c r="AR165" i="2"/>
  <c r="K257" i="2"/>
  <c r="AR258" i="2"/>
  <c r="K139" i="2"/>
  <c r="AR139" i="2" s="1"/>
  <c r="AR140" i="2"/>
  <c r="K129" i="2"/>
  <c r="AR135" i="2"/>
  <c r="K109" i="2"/>
  <c r="AR112" i="2"/>
  <c r="K149" i="2"/>
  <c r="AR149" i="2" s="1"/>
  <c r="AR150" i="2"/>
  <c r="T78" i="2"/>
  <c r="T77" i="2" s="1"/>
  <c r="AK57" i="2"/>
  <c r="AQ81" i="2"/>
  <c r="AP81" i="2"/>
  <c r="AQ20" i="2"/>
  <c r="AP20" i="2"/>
  <c r="AP267" i="2" s="1"/>
  <c r="AP80" i="2"/>
  <c r="AQ80" i="2"/>
  <c r="AR80" i="2" s="1"/>
  <c r="AP59" i="2"/>
  <c r="AQ59" i="2"/>
  <c r="AR59" i="2" s="1"/>
  <c r="AO255" i="2"/>
  <c r="AK68" i="2"/>
  <c r="AG164" i="2"/>
  <c r="AD188" i="2"/>
  <c r="Q164" i="2"/>
  <c r="AU253" i="2"/>
  <c r="AU252" i="2" s="1"/>
  <c r="AU251" i="2" s="1"/>
  <c r="AO55" i="2"/>
  <c r="AO30" i="2"/>
  <c r="AU189" i="2"/>
  <c r="AO107" i="2"/>
  <c r="AO14" i="2" s="1"/>
  <c r="AO17" i="2"/>
  <c r="AF20" i="2"/>
  <c r="AG20" i="2" s="1"/>
  <c r="AB182" i="2"/>
  <c r="AC79" i="2"/>
  <c r="Y79" i="2" s="1"/>
  <c r="O31" i="2"/>
  <c r="AF189" i="2"/>
  <c r="AG189" i="2" s="1"/>
  <c r="S189" i="2"/>
  <c r="O189" i="2"/>
  <c r="S188" i="2"/>
  <c r="O41" i="2"/>
  <c r="M20" i="2"/>
  <c r="AD237" i="2"/>
  <c r="AB189" i="2"/>
  <c r="AB187" i="2" s="1"/>
  <c r="M189" i="2"/>
  <c r="M188" i="2"/>
  <c r="AK115" i="2"/>
  <c r="AU191" i="2"/>
  <c r="AU190" i="2" s="1"/>
  <c r="Y34" i="2"/>
  <c r="S20" i="2"/>
  <c r="N195" i="2"/>
  <c r="N186" i="2" s="1"/>
  <c r="O188" i="2"/>
  <c r="AC18" i="2"/>
  <c r="AD18" i="2" s="1"/>
  <c r="AB144" i="2"/>
  <c r="O36" i="2"/>
  <c r="AA204" i="2"/>
  <c r="AB195" i="2"/>
  <c r="Z144" i="2"/>
  <c r="AB88" i="2"/>
  <c r="M88" i="2"/>
  <c r="AA78" i="2"/>
  <c r="AA77" i="2" s="1"/>
  <c r="Y65" i="2"/>
  <c r="AD45" i="2"/>
  <c r="AF220" i="2"/>
  <c r="AG220" i="2" s="1"/>
  <c r="F165" i="2"/>
  <c r="F162" i="2" s="1"/>
  <c r="O88" i="2"/>
  <c r="AB52" i="2"/>
  <c r="O52" i="2"/>
  <c r="L30" i="2"/>
  <c r="F30" i="2"/>
  <c r="F219" i="2"/>
  <c r="F215" i="2" s="1"/>
  <c r="S120" i="2"/>
  <c r="Z97" i="2"/>
  <c r="U87" i="2"/>
  <c r="U86" i="2" s="1"/>
  <c r="AD58" i="2"/>
  <c r="AF239" i="2"/>
  <c r="AG239" i="2" s="1"/>
  <c r="S231" i="2"/>
  <c r="M220" i="2"/>
  <c r="Q185" i="2"/>
  <c r="O144" i="2"/>
  <c r="W138" i="2"/>
  <c r="AK138" i="2"/>
  <c r="AB120" i="2"/>
  <c r="O120" i="2"/>
  <c r="F115" i="2"/>
  <c r="AD103" i="2"/>
  <c r="Z46" i="2"/>
  <c r="H22" i="2"/>
  <c r="H17" i="2" s="1"/>
  <c r="P17" i="2"/>
  <c r="S256" i="2"/>
  <c r="S255" i="2" s="1"/>
  <c r="S242" i="2"/>
  <c r="S192" i="2"/>
  <c r="AD185" i="2"/>
  <c r="O171" i="2"/>
  <c r="AC159" i="2"/>
  <c r="S149" i="2"/>
  <c r="AB140" i="2"/>
  <c r="M120" i="2"/>
  <c r="Y117" i="2"/>
  <c r="K22" i="2"/>
  <c r="AA251" i="2"/>
  <c r="N251" i="2"/>
  <c r="AF242" i="2"/>
  <c r="AG242" i="2" s="1"/>
  <c r="P235" i="2"/>
  <c r="J201" i="2"/>
  <c r="V56" i="2"/>
  <c r="V55" i="2" s="1"/>
  <c r="O26" i="2"/>
  <c r="Z23" i="2"/>
  <c r="AI251" i="2"/>
  <c r="S239" i="2"/>
  <c r="S229" i="2"/>
  <c r="H223" i="2"/>
  <c r="H222" i="2" s="1"/>
  <c r="AD209" i="2"/>
  <c r="T204" i="2"/>
  <c r="AF203" i="2"/>
  <c r="AF201" i="2" s="1"/>
  <c r="Q182" i="2"/>
  <c r="AF173" i="2"/>
  <c r="S163" i="2"/>
  <c r="Y160" i="2"/>
  <c r="Y159" i="2" s="1"/>
  <c r="V115" i="2"/>
  <c r="V108" i="2" s="1"/>
  <c r="M116" i="2"/>
  <c r="K78" i="2"/>
  <c r="AD53" i="2"/>
  <c r="U251" i="2"/>
  <c r="AC223" i="2"/>
  <c r="AC222" i="2" s="1"/>
  <c r="F223" i="2"/>
  <c r="F222" i="2" s="1"/>
  <c r="K222" i="2"/>
  <c r="S218" i="2"/>
  <c r="O182" i="2"/>
  <c r="AF163" i="2"/>
  <c r="AG163" i="2" s="1"/>
  <c r="O163" i="2"/>
  <c r="Q103" i="2"/>
  <c r="AF249" i="2"/>
  <c r="AG249" i="2" s="1"/>
  <c r="O225" i="2"/>
  <c r="AF225" i="2"/>
  <c r="AG225" i="2" s="1"/>
  <c r="Q225" i="2"/>
  <c r="AB225" i="2"/>
  <c r="S253" i="2"/>
  <c r="AB253" i="2"/>
  <c r="AB252" i="2" s="1"/>
  <c r="Q240" i="2"/>
  <c r="O240" i="2"/>
  <c r="AF226" i="2"/>
  <c r="AG226" i="2" s="1"/>
  <c r="Y196" i="2"/>
  <c r="V129" i="2"/>
  <c r="V128" i="2" s="1"/>
  <c r="AD96" i="2"/>
  <c r="Y96" i="2"/>
  <c r="P78" i="2"/>
  <c r="P77" i="2" s="1"/>
  <c r="Z22" i="2"/>
  <c r="Y20" i="2"/>
  <c r="AD20" i="2"/>
  <c r="S18" i="2"/>
  <c r="O18" i="2"/>
  <c r="J255" i="2"/>
  <c r="AF255" i="2" s="1"/>
  <c r="AG255" i="2" s="1"/>
  <c r="O256" i="2"/>
  <c r="AD225" i="2"/>
  <c r="S225" i="2"/>
  <c r="AI204" i="2"/>
  <c r="F201" i="2"/>
  <c r="AC196" i="2"/>
  <c r="R195" i="2"/>
  <c r="R186" i="2" s="1"/>
  <c r="M172" i="2"/>
  <c r="S172" i="2"/>
  <c r="O157" i="2"/>
  <c r="M131" i="2"/>
  <c r="K115" i="2"/>
  <c r="AM115" i="2" s="1"/>
  <c r="O95" i="2"/>
  <c r="O82" i="2"/>
  <c r="W56" i="2"/>
  <c r="W55" i="2" s="1"/>
  <c r="S57" i="2"/>
  <c r="R56" i="2"/>
  <c r="R55" i="2" s="1"/>
  <c r="K56" i="2"/>
  <c r="K40" i="2"/>
  <c r="AD38" i="2"/>
  <c r="Y38" i="2"/>
  <c r="Q243" i="2"/>
  <c r="O243" i="2"/>
  <c r="Y211" i="2"/>
  <c r="AD211" i="2"/>
  <c r="K260" i="2"/>
  <c r="Q254" i="2"/>
  <c r="Q252" i="2" s="1"/>
  <c r="Q251" i="2" s="1"/>
  <c r="O254" i="2"/>
  <c r="H135" i="2"/>
  <c r="H129" i="2" s="1"/>
  <c r="AF79" i="2"/>
  <c r="AG79" i="2" s="1"/>
  <c r="Z255" i="2"/>
  <c r="AD243" i="2"/>
  <c r="S243" i="2"/>
  <c r="Q241" i="2"/>
  <c r="S241" i="2"/>
  <c r="AF241" i="2"/>
  <c r="AG241" i="2" s="1"/>
  <c r="Q234" i="2"/>
  <c r="Y259" i="2"/>
  <c r="Y258" i="2" s="1"/>
  <c r="Y257" i="2" s="1"/>
  <c r="AF254" i="2"/>
  <c r="AG254" i="2" s="1"/>
  <c r="S254" i="2"/>
  <c r="O246" i="2"/>
  <c r="O245" i="2" s="1"/>
  <c r="M243" i="2"/>
  <c r="AF240" i="2"/>
  <c r="AG240" i="2" s="1"/>
  <c r="S240" i="2"/>
  <c r="H232" i="2"/>
  <c r="Z232" i="2"/>
  <c r="F232" i="2"/>
  <c r="M225" i="2"/>
  <c r="O224" i="2"/>
  <c r="Q224" i="2"/>
  <c r="AF224" i="2"/>
  <c r="AG224" i="2" s="1"/>
  <c r="S224" i="2"/>
  <c r="AD197" i="2"/>
  <c r="M197" i="2"/>
  <c r="S197" i="2"/>
  <c r="AF197" i="2"/>
  <c r="AG197" i="2" s="1"/>
  <c r="F183" i="2"/>
  <c r="O173" i="2"/>
  <c r="M160" i="2"/>
  <c r="S160" i="2"/>
  <c r="S159" i="2" s="1"/>
  <c r="AD105" i="2"/>
  <c r="AC104" i="2"/>
  <c r="Y104" i="2" s="1"/>
  <c r="Y93" i="2"/>
  <c r="AD93" i="2"/>
  <c r="AF64" i="2"/>
  <c r="AG64" i="2" s="1"/>
  <c r="Z52" i="2"/>
  <c r="Z49" i="2"/>
  <c r="V30" i="2"/>
  <c r="K30" i="2"/>
  <c r="W204" i="2"/>
  <c r="K204" i="2"/>
  <c r="P195" i="2"/>
  <c r="P186" i="2" s="1"/>
  <c r="AH195" i="2"/>
  <c r="AH186" i="2" s="1"/>
  <c r="AI178" i="2"/>
  <c r="AI155" i="2" s="1"/>
  <c r="T178" i="2"/>
  <c r="T155" i="2" s="1"/>
  <c r="M163" i="2"/>
  <c r="AD160" i="2"/>
  <c r="AD159" i="2" s="1"/>
  <c r="AB149" i="2"/>
  <c r="O140" i="2"/>
  <c r="J138" i="2"/>
  <c r="Z135" i="2"/>
  <c r="AD136" i="2"/>
  <c r="N129" i="2"/>
  <c r="N128" i="2" s="1"/>
  <c r="X129" i="2"/>
  <c r="X128" i="2" s="1"/>
  <c r="P115" i="2"/>
  <c r="P108" i="2" s="1"/>
  <c r="M112" i="2"/>
  <c r="X87" i="2"/>
  <c r="X86" i="2" s="1"/>
  <c r="T87" i="2"/>
  <c r="T86" i="2" s="1"/>
  <c r="Q88" i="2"/>
  <c r="Z82" i="2"/>
  <c r="U78" i="2"/>
  <c r="U77" i="2" s="1"/>
  <c r="AC73" i="2"/>
  <c r="AD73" i="2" s="1"/>
  <c r="O57" i="2"/>
  <c r="N30" i="2"/>
  <c r="Y24" i="2"/>
  <c r="H252" i="2"/>
  <c r="H251" i="2" s="1"/>
  <c r="AC238" i="2"/>
  <c r="AC236" i="2" s="1"/>
  <c r="H238" i="2"/>
  <c r="H236" i="2" s="1"/>
  <c r="F228" i="2"/>
  <c r="AE204" i="2"/>
  <c r="F196" i="2"/>
  <c r="X195" i="2"/>
  <c r="X186" i="2" s="1"/>
  <c r="T195" i="2"/>
  <c r="T186" i="2" s="1"/>
  <c r="H190" i="2"/>
  <c r="H187" i="2" s="1"/>
  <c r="AF188" i="2"/>
  <c r="AG188" i="2" s="1"/>
  <c r="P178" i="2"/>
  <c r="P155" i="2" s="1"/>
  <c r="AH178" i="2"/>
  <c r="AH155" i="2" s="1"/>
  <c r="W178" i="2"/>
  <c r="W155" i="2" s="1"/>
  <c r="R178" i="2"/>
  <c r="R155" i="2" s="1"/>
  <c r="X138" i="2"/>
  <c r="F138" i="2"/>
  <c r="F107" i="2" s="1"/>
  <c r="F14" i="2" s="1"/>
  <c r="W129" i="2"/>
  <c r="W128" i="2" s="1"/>
  <c r="AF131" i="2"/>
  <c r="Z101" i="2"/>
  <c r="X40" i="2"/>
  <c r="X29" i="2" s="1"/>
  <c r="T40" i="2"/>
  <c r="V17" i="2"/>
  <c r="J258" i="2"/>
  <c r="AH235" i="2"/>
  <c r="O194" i="2"/>
  <c r="Q194" i="2"/>
  <c r="S194" i="2"/>
  <c r="AD191" i="2"/>
  <c r="Y191" i="2"/>
  <c r="Y190" i="2" s="1"/>
  <c r="Q116" i="2"/>
  <c r="Y26" i="2"/>
  <c r="AD26" i="2"/>
  <c r="AD259" i="2"/>
  <c r="AD258" i="2" s="1"/>
  <c r="AD257" i="2" s="1"/>
  <c r="S259" i="2"/>
  <c r="S258" i="2" s="1"/>
  <c r="S257" i="2" s="1"/>
  <c r="W251" i="2"/>
  <c r="K251" i="2"/>
  <c r="AF247" i="2"/>
  <c r="AG247" i="2" s="1"/>
  <c r="Q246" i="2"/>
  <c r="F245" i="2"/>
  <c r="F244" i="2" s="1"/>
  <c r="O242" i="2"/>
  <c r="AD241" i="2"/>
  <c r="V235" i="2"/>
  <c r="J238" i="2"/>
  <c r="Y237" i="2"/>
  <c r="M259" i="2"/>
  <c r="M258" i="2" s="1"/>
  <c r="M257" i="2" s="1"/>
  <c r="AD254" i="2"/>
  <c r="V251" i="2"/>
  <c r="P251" i="2"/>
  <c r="M247" i="2"/>
  <c r="AC245" i="2"/>
  <c r="AC244" i="2" s="1"/>
  <c r="AB243" i="2"/>
  <c r="AB236" i="2" s="1"/>
  <c r="AB235" i="2" s="1"/>
  <c r="M242" i="2"/>
  <c r="O241" i="2"/>
  <c r="AD240" i="2"/>
  <c r="Y239" i="2"/>
  <c r="Y238" i="2" s="1"/>
  <c r="M239" i="2"/>
  <c r="M238" i="2" s="1"/>
  <c r="U235" i="2"/>
  <c r="N235" i="2"/>
  <c r="M237" i="2"/>
  <c r="S237" i="2"/>
  <c r="H228" i="2"/>
  <c r="P214" i="2"/>
  <c r="K215" i="2"/>
  <c r="AD216" i="2"/>
  <c r="Y216" i="2"/>
  <c r="AD199" i="2"/>
  <c r="H196" i="2"/>
  <c r="H179" i="2"/>
  <c r="Q167" i="2"/>
  <c r="S167" i="2"/>
  <c r="AD164" i="2"/>
  <c r="Y164" i="2"/>
  <c r="M164" i="2"/>
  <c r="O164" i="2"/>
  <c r="M161" i="2"/>
  <c r="AF161" i="2"/>
  <c r="AF159" i="2" s="1"/>
  <c r="J159" i="2"/>
  <c r="H159" i="2"/>
  <c r="AF140" i="2"/>
  <c r="AG140" i="2" s="1"/>
  <c r="S140" i="2"/>
  <c r="R139" i="2"/>
  <c r="AF139" i="2" s="1"/>
  <c r="AG139" i="2" s="1"/>
  <c r="Y134" i="2"/>
  <c r="AD134" i="2"/>
  <c r="M97" i="2"/>
  <c r="M95" i="2" s="1"/>
  <c r="L95" i="2"/>
  <c r="AD81" i="2"/>
  <c r="Y81" i="2"/>
  <c r="Q79" i="2"/>
  <c r="J56" i="2"/>
  <c r="J55" i="2" s="1"/>
  <c r="U40" i="2"/>
  <c r="AD35" i="2"/>
  <c r="Y35" i="2"/>
  <c r="AD32" i="2"/>
  <c r="Y32" i="2"/>
  <c r="J245" i="2"/>
  <c r="J244" i="2" s="1"/>
  <c r="K244" i="2"/>
  <c r="M221" i="2"/>
  <c r="AF221" i="2"/>
  <c r="AG221" i="2" s="1"/>
  <c r="S221" i="2"/>
  <c r="S219" i="2" s="1"/>
  <c r="U214" i="2"/>
  <c r="S211" i="2"/>
  <c r="Q211" i="2"/>
  <c r="S208" i="2"/>
  <c r="O208" i="2"/>
  <c r="O193" i="2"/>
  <c r="S193" i="2"/>
  <c r="M158" i="2"/>
  <c r="S158" i="2"/>
  <c r="Q158" i="2"/>
  <c r="O158" i="2"/>
  <c r="J156" i="2"/>
  <c r="S157" i="2"/>
  <c r="AF157" i="2"/>
  <c r="AG157" i="2" s="1"/>
  <c r="Q157" i="2"/>
  <c r="AB157" i="2"/>
  <c r="AB156" i="2" s="1"/>
  <c r="Z112" i="2"/>
  <c r="U109" i="2"/>
  <c r="Z109" i="2" s="1"/>
  <c r="Y60" i="2"/>
  <c r="AD60" i="2"/>
  <c r="T17" i="2"/>
  <c r="Q247" i="2"/>
  <c r="S246" i="2"/>
  <c r="S245" i="2" s="1"/>
  <c r="S244" i="2" s="1"/>
  <c r="H245" i="2"/>
  <c r="H244" i="2" s="1"/>
  <c r="AD242" i="2"/>
  <c r="Q239" i="2"/>
  <c r="R235" i="2"/>
  <c r="J219" i="2"/>
  <c r="Y217" i="2"/>
  <c r="AD217" i="2"/>
  <c r="V87" i="2"/>
  <c r="V86" i="2" s="1"/>
  <c r="R251" i="2"/>
  <c r="AD248" i="2"/>
  <c r="AF246" i="2"/>
  <c r="AG246" i="2" s="1"/>
  <c r="H219" i="2"/>
  <c r="X214" i="2"/>
  <c r="T214" i="2"/>
  <c r="H215" i="2"/>
  <c r="O209" i="2"/>
  <c r="S209" i="2"/>
  <c r="L195" i="2"/>
  <c r="L186" i="2" s="1"/>
  <c r="M199" i="2"/>
  <c r="O199" i="2"/>
  <c r="S199" i="2"/>
  <c r="Y194" i="2"/>
  <c r="AD194" i="2"/>
  <c r="K178" i="2"/>
  <c r="O170" i="2"/>
  <c r="Q170" i="2"/>
  <c r="W115" i="2"/>
  <c r="W108" i="2" s="1"/>
  <c r="O116" i="2"/>
  <c r="N115" i="2"/>
  <c r="AB64" i="2"/>
  <c r="O64" i="2"/>
  <c r="AA56" i="2"/>
  <c r="AA55" i="2" s="1"/>
  <c r="T235" i="2"/>
  <c r="L235" i="2"/>
  <c r="AD231" i="2"/>
  <c r="AB224" i="2"/>
  <c r="AC219" i="2"/>
  <c r="AC215" i="2" s="1"/>
  <c r="AD218" i="2"/>
  <c r="Q217" i="2"/>
  <c r="U204" i="2"/>
  <c r="N204" i="2"/>
  <c r="AD192" i="2"/>
  <c r="Q192" i="2"/>
  <c r="H183" i="2"/>
  <c r="X178" i="2"/>
  <c r="X155" i="2" s="1"/>
  <c r="L178" i="2"/>
  <c r="L155" i="2" s="1"/>
  <c r="Z179" i="2"/>
  <c r="F179" i="2"/>
  <c r="AE178" i="2"/>
  <c r="AE155" i="2" s="1"/>
  <c r="V178" i="2"/>
  <c r="V155" i="2" s="1"/>
  <c r="Q172" i="2"/>
  <c r="U138" i="2"/>
  <c r="AD111" i="2"/>
  <c r="Y111" i="2"/>
  <c r="R104" i="2"/>
  <c r="S105" i="2"/>
  <c r="AD99" i="2"/>
  <c r="Y99" i="2"/>
  <c r="AO80" i="2"/>
  <c r="H78" i="2"/>
  <c r="H77" i="2" s="1"/>
  <c r="AB36" i="2"/>
  <c r="Z36" i="2"/>
  <c r="S31" i="2"/>
  <c r="R30" i="2"/>
  <c r="S26" i="2"/>
  <c r="AF26" i="2"/>
  <c r="AG26" i="2" s="1"/>
  <c r="Q26" i="2"/>
  <c r="X204" i="2"/>
  <c r="H201" i="2"/>
  <c r="U195" i="2"/>
  <c r="U186" i="2" s="1"/>
  <c r="AG182" i="2"/>
  <c r="S182" i="2"/>
  <c r="AA178" i="2"/>
  <c r="AA155" i="2" s="1"/>
  <c r="U178" i="2"/>
  <c r="U155" i="2" s="1"/>
  <c r="N178" i="2"/>
  <c r="N155" i="2" s="1"/>
  <c r="H165" i="2"/>
  <c r="H162" i="2" s="1"/>
  <c r="Z159" i="2"/>
  <c r="J129" i="2"/>
  <c r="AB129" i="2" s="1"/>
  <c r="H120" i="2"/>
  <c r="S116" i="2"/>
  <c r="AD114" i="2"/>
  <c r="Y114" i="2"/>
  <c r="K87" i="2"/>
  <c r="P87" i="2"/>
  <c r="P86" i="2" s="1"/>
  <c r="AK81" i="2"/>
  <c r="AM81" i="2" s="1"/>
  <c r="AO81" i="2"/>
  <c r="AK80" i="2"/>
  <c r="AD51" i="2"/>
  <c r="Y51" i="2"/>
  <c r="AD43" i="2"/>
  <c r="Y43" i="2"/>
  <c r="AA40" i="2"/>
  <c r="S41" i="2"/>
  <c r="AF41" i="2"/>
  <c r="AG41" i="2" s="1"/>
  <c r="Y27" i="2"/>
  <c r="AD27" i="2"/>
  <c r="Q20" i="2"/>
  <c r="O20" i="2"/>
  <c r="U17" i="2"/>
  <c r="H144" i="2"/>
  <c r="H139" i="2"/>
  <c r="AC135" i="2"/>
  <c r="Y135" i="2" s="1"/>
  <c r="M135" i="2"/>
  <c r="U129" i="2"/>
  <c r="U128" i="2" s="1"/>
  <c r="X115" i="2"/>
  <c r="X108" i="2" s="1"/>
  <c r="AB116" i="2"/>
  <c r="U115" i="2"/>
  <c r="M92" i="2"/>
  <c r="F87" i="2"/>
  <c r="F86" i="2" s="1"/>
  <c r="W87" i="2"/>
  <c r="H87" i="2"/>
  <c r="H86" i="2" s="1"/>
  <c r="F78" i="2"/>
  <c r="F77" i="2" s="1"/>
  <c r="Z73" i="2"/>
  <c r="U56" i="2"/>
  <c r="U55" i="2" s="1"/>
  <c r="H56" i="2"/>
  <c r="H55" i="2" s="1"/>
  <c r="AC52" i="2"/>
  <c r="AD52" i="2" s="1"/>
  <c r="M49" i="2"/>
  <c r="M41" i="2"/>
  <c r="T30" i="2"/>
  <c r="H156" i="2"/>
  <c r="M144" i="2"/>
  <c r="AD127" i="2"/>
  <c r="AF120" i="2"/>
  <c r="AG120" i="2" s="1"/>
  <c r="H116" i="2"/>
  <c r="AA115" i="2"/>
  <c r="AA108" i="2" s="1"/>
  <c r="AC112" i="2"/>
  <c r="Y112" i="2" s="1"/>
  <c r="AK109" i="2"/>
  <c r="AA87" i="2"/>
  <c r="M82" i="2"/>
  <c r="S64" i="2"/>
  <c r="M64" i="2"/>
  <c r="AB57" i="2"/>
  <c r="P56" i="2"/>
  <c r="P55" i="2" s="1"/>
  <c r="AF57" i="2"/>
  <c r="AG57" i="2" s="1"/>
  <c r="N56" i="2"/>
  <c r="AO40" i="2"/>
  <c r="M52" i="2"/>
  <c r="H40" i="2"/>
  <c r="W30" i="2"/>
  <c r="U30" i="2"/>
  <c r="F22" i="2"/>
  <c r="F17" i="2" s="1"/>
  <c r="Z245" i="2"/>
  <c r="Z244" i="2" s="1"/>
  <c r="J205" i="2"/>
  <c r="F169" i="2"/>
  <c r="F168" i="2" s="1"/>
  <c r="Z165" i="2"/>
  <c r="Z162" i="2" s="1"/>
  <c r="AC120" i="2"/>
  <c r="AD120" i="2" s="1"/>
  <c r="AC116" i="2"/>
  <c r="Z219" i="2"/>
  <c r="Z215" i="2" s="1"/>
  <c r="Z205" i="2"/>
  <c r="Z204" i="2" s="1"/>
  <c r="Z201" i="2"/>
  <c r="Z183" i="2"/>
  <c r="O149" i="2"/>
  <c r="Y143" i="2"/>
  <c r="Y84" i="2"/>
  <c r="Y83" i="2"/>
  <c r="Z252" i="2"/>
  <c r="Y248" i="2"/>
  <c r="Z228" i="2"/>
  <c r="AC190" i="2"/>
  <c r="AC187" i="2" s="1"/>
  <c r="AD189" i="2"/>
  <c r="AF150" i="2"/>
  <c r="AG150" i="2" s="1"/>
  <c r="S150" i="2"/>
  <c r="M150" i="2"/>
  <c r="AD72" i="2"/>
  <c r="Y68" i="2"/>
  <c r="Z26" i="2"/>
  <c r="AF149" i="2"/>
  <c r="AG149" i="2" s="1"/>
  <c r="L149" i="2"/>
  <c r="M149" i="2" s="1"/>
  <c r="Y228" i="2"/>
  <c r="AD229" i="2"/>
  <c r="AD221" i="2"/>
  <c r="AD220" i="2"/>
  <c r="O210" i="2"/>
  <c r="Q208" i="2"/>
  <c r="O207" i="2"/>
  <c r="S206" i="2"/>
  <c r="Z196" i="2"/>
  <c r="AD193" i="2"/>
  <c r="Z190" i="2"/>
  <c r="Z187" i="2" s="1"/>
  <c r="Y188" i="2"/>
  <c r="Q171" i="2"/>
  <c r="Z156" i="2"/>
  <c r="O150" i="2"/>
  <c r="AD123" i="2"/>
  <c r="Y123" i="2"/>
  <c r="AD118" i="2"/>
  <c r="Y118" i="2"/>
  <c r="Y113" i="2"/>
  <c r="AD66" i="2"/>
  <c r="AD39" i="2"/>
  <c r="AD206" i="2"/>
  <c r="Q228" i="2"/>
  <c r="S210" i="2"/>
  <c r="S207" i="2"/>
  <c r="H205" i="2"/>
  <c r="H204" i="2" s="1"/>
  <c r="Z238" i="2"/>
  <c r="Z236" i="2" s="1"/>
  <c r="AD230" i="2"/>
  <c r="Y220" i="2"/>
  <c r="Y219" i="2" s="1"/>
  <c r="AD207" i="2"/>
  <c r="F205" i="2"/>
  <c r="F204" i="2" s="1"/>
  <c r="O172" i="2"/>
  <c r="S171" i="2"/>
  <c r="Q150" i="2"/>
  <c r="AC125" i="2"/>
  <c r="Y125" i="2" s="1"/>
  <c r="Y105" i="2"/>
  <c r="AD85" i="2"/>
  <c r="AC82" i="2"/>
  <c r="AD82" i="2" s="1"/>
  <c r="AC49" i="2"/>
  <c r="Y49" i="2" s="1"/>
  <c r="Z31" i="2"/>
  <c r="M262" i="2"/>
  <c r="M261" i="2" s="1"/>
  <c r="M260" i="2" s="1"/>
  <c r="AF262" i="2"/>
  <c r="O262" i="2"/>
  <c r="O261" i="2" s="1"/>
  <c r="O260" i="2" s="1"/>
  <c r="Q262" i="2"/>
  <c r="Q261" i="2" s="1"/>
  <c r="Q260" i="2" s="1"/>
  <c r="Y262" i="2"/>
  <c r="Y261" i="2" s="1"/>
  <c r="Y260" i="2" s="1"/>
  <c r="AC261" i="2"/>
  <c r="AC260" i="2" s="1"/>
  <c r="AD262" i="2"/>
  <c r="AD261" i="2" s="1"/>
  <c r="AD260" i="2" s="1"/>
  <c r="J261" i="2"/>
  <c r="AG259" i="2"/>
  <c r="AG258" i="2" s="1"/>
  <c r="AG257" i="2" s="1"/>
  <c r="AF258" i="2"/>
  <c r="AF257" i="2" s="1"/>
  <c r="Y253" i="2"/>
  <c r="Y252" i="2" s="1"/>
  <c r="AD253" i="2"/>
  <c r="O248" i="2"/>
  <c r="Q248" i="2"/>
  <c r="Y234" i="2"/>
  <c r="Y232" i="2" s="1"/>
  <c r="AD234" i="2"/>
  <c r="O233" i="2"/>
  <c r="AF233" i="2"/>
  <c r="Q233" i="2"/>
  <c r="AB233" i="2"/>
  <c r="AB232" i="2" s="1"/>
  <c r="AI214" i="2"/>
  <c r="V214" i="2"/>
  <c r="Q198" i="2"/>
  <c r="O198" i="2"/>
  <c r="O196" i="2" s="1"/>
  <c r="S198" i="2"/>
  <c r="AD198" i="2"/>
  <c r="J196" i="2"/>
  <c r="M198" i="2"/>
  <c r="AF198" i="2"/>
  <c r="AG198" i="2" s="1"/>
  <c r="Y184" i="2"/>
  <c r="Y183" i="2" s="1"/>
  <c r="AD184" i="2"/>
  <c r="AC183" i="2"/>
  <c r="M181" i="2"/>
  <c r="O181" i="2"/>
  <c r="AF181" i="2"/>
  <c r="AG181" i="2" s="1"/>
  <c r="S181" i="2"/>
  <c r="Q181" i="2"/>
  <c r="AB181" i="2"/>
  <c r="O180" i="2"/>
  <c r="AF180" i="2"/>
  <c r="Q180" i="2"/>
  <c r="Q179" i="2" s="1"/>
  <c r="AB180" i="2"/>
  <c r="M180" i="2"/>
  <c r="J179" i="2"/>
  <c r="S180" i="2"/>
  <c r="F159" i="2"/>
  <c r="AC131" i="2"/>
  <c r="Y131" i="2" s="1"/>
  <c r="Y130" i="2"/>
  <c r="O259" i="2"/>
  <c r="O258" i="2" s="1"/>
  <c r="O257" i="2" s="1"/>
  <c r="Q259" i="2"/>
  <c r="Q258" i="2" s="1"/>
  <c r="Q257" i="2" s="1"/>
  <c r="AC255" i="2"/>
  <c r="Y255" i="2" s="1"/>
  <c r="AD256" i="2"/>
  <c r="AD255" i="2" s="1"/>
  <c r="Y256" i="2"/>
  <c r="M253" i="2"/>
  <c r="M252" i="2" s="1"/>
  <c r="O253" i="2"/>
  <c r="AF253" i="2"/>
  <c r="AE251" i="2"/>
  <c r="L251" i="2"/>
  <c r="AG248" i="2"/>
  <c r="AI235" i="2"/>
  <c r="W235" i="2"/>
  <c r="AO237" i="2"/>
  <c r="M234" i="2"/>
  <c r="O234" i="2"/>
  <c r="AF234" i="2"/>
  <c r="AG234" i="2" s="1"/>
  <c r="M230" i="2"/>
  <c r="AF230" i="2"/>
  <c r="AG230" i="2" s="1"/>
  <c r="O230" i="2"/>
  <c r="AC228" i="2"/>
  <c r="AH214" i="2"/>
  <c r="M213" i="2"/>
  <c r="M212" i="2" s="1"/>
  <c r="AG213" i="2"/>
  <c r="AG212" i="2" s="1"/>
  <c r="Q213" i="2"/>
  <c r="Q212" i="2" s="1"/>
  <c r="J212" i="2"/>
  <c r="S213" i="2"/>
  <c r="S212" i="2" s="1"/>
  <c r="O213" i="2"/>
  <c r="O212" i="2" s="1"/>
  <c r="Y210" i="2"/>
  <c r="AD210" i="2"/>
  <c r="L204" i="2"/>
  <c r="Q200" i="2"/>
  <c r="O200" i="2"/>
  <c r="S200" i="2"/>
  <c r="AD200" i="2"/>
  <c r="M200" i="2"/>
  <c r="AF200" i="2"/>
  <c r="AG200" i="2" s="1"/>
  <c r="AU176" i="2"/>
  <c r="AD158" i="2"/>
  <c r="Y158" i="2"/>
  <c r="Y156" i="2" s="1"/>
  <c r="AC156" i="2"/>
  <c r="V138" i="2"/>
  <c r="M140" i="2"/>
  <c r="L139" i="2"/>
  <c r="AA235" i="2"/>
  <c r="O237" i="2"/>
  <c r="Q237" i="2"/>
  <c r="AD233" i="2"/>
  <c r="S233" i="2"/>
  <c r="AC232" i="2"/>
  <c r="J232" i="2"/>
  <c r="N214" i="2"/>
  <c r="Y208" i="2"/>
  <c r="AD208" i="2"/>
  <c r="J183" i="2"/>
  <c r="M184" i="2"/>
  <c r="AF184" i="2"/>
  <c r="O184" i="2"/>
  <c r="Q184" i="2"/>
  <c r="S184" i="2"/>
  <c r="S183" i="2" s="1"/>
  <c r="Y181" i="2"/>
  <c r="Y179" i="2" s="1"/>
  <c r="AD181" i="2"/>
  <c r="R109" i="2"/>
  <c r="S112" i="2"/>
  <c r="F252" i="2"/>
  <c r="F251" i="2" s="1"/>
  <c r="AC252" i="2"/>
  <c r="X251" i="2"/>
  <c r="T251" i="2"/>
  <c r="J252" i="2"/>
  <c r="M248" i="2"/>
  <c r="F238" i="2"/>
  <c r="F236" i="2" s="1"/>
  <c r="AE235" i="2"/>
  <c r="K236" i="2"/>
  <c r="AF237" i="2"/>
  <c r="S234" i="2"/>
  <c r="M233" i="2"/>
  <c r="M231" i="2"/>
  <c r="AF231" i="2"/>
  <c r="AG231" i="2" s="1"/>
  <c r="O231" i="2"/>
  <c r="S230" i="2"/>
  <c r="J228" i="2"/>
  <c r="M229" i="2"/>
  <c r="AF229" i="2"/>
  <c r="O229" i="2"/>
  <c r="Z223" i="2"/>
  <c r="Z222" i="2" s="1"/>
  <c r="J223" i="2"/>
  <c r="L214" i="2"/>
  <c r="O216" i="2"/>
  <c r="AF216" i="2"/>
  <c r="Q216" i="2"/>
  <c r="AB216" i="2"/>
  <c r="AB215" i="2" s="1"/>
  <c r="M216" i="2"/>
  <c r="AC205" i="2"/>
  <c r="AC204" i="2" s="1"/>
  <c r="P204" i="2"/>
  <c r="AI195" i="2"/>
  <c r="AI186" i="2" s="1"/>
  <c r="O191" i="2"/>
  <c r="O190" i="2" s="1"/>
  <c r="Q191" i="2"/>
  <c r="S191" i="2"/>
  <c r="J190" i="2"/>
  <c r="J187" i="2" s="1"/>
  <c r="M191" i="2"/>
  <c r="AF191" i="2"/>
  <c r="Y167" i="2"/>
  <c r="AD167" i="2"/>
  <c r="O221" i="2"/>
  <c r="Q221" i="2"/>
  <c r="O220" i="2"/>
  <c r="Q220" i="2"/>
  <c r="AE214" i="2"/>
  <c r="AA214" i="2"/>
  <c r="W214" i="2"/>
  <c r="M218" i="2"/>
  <c r="AF218" i="2"/>
  <c r="AG218" i="2" s="1"/>
  <c r="O218" i="2"/>
  <c r="Y213" i="2"/>
  <c r="Y212" i="2" s="1"/>
  <c r="AD213" i="2"/>
  <c r="AD212" i="2" s="1"/>
  <c r="Y206" i="2"/>
  <c r="AC201" i="2"/>
  <c r="Y202" i="2"/>
  <c r="Y201" i="2" s="1"/>
  <c r="V195" i="2"/>
  <c r="V186" i="2" s="1"/>
  <c r="AC179" i="2"/>
  <c r="M177" i="2"/>
  <c r="O177" i="2"/>
  <c r="AF177" i="2"/>
  <c r="AG177" i="2" s="1"/>
  <c r="Q177" i="2"/>
  <c r="S177" i="2"/>
  <c r="O176" i="2"/>
  <c r="Q176" i="2"/>
  <c r="M176" i="2"/>
  <c r="S176" i="2"/>
  <c r="AD176" i="2"/>
  <c r="O175" i="2"/>
  <c r="Q175" i="2"/>
  <c r="M175" i="2"/>
  <c r="S175" i="2"/>
  <c r="AD175" i="2"/>
  <c r="O174" i="2"/>
  <c r="Q174" i="2"/>
  <c r="M174" i="2"/>
  <c r="S174" i="2"/>
  <c r="AD174" i="2"/>
  <c r="AC169" i="2"/>
  <c r="AC168" i="2" s="1"/>
  <c r="AD170" i="2"/>
  <c r="Y170" i="2"/>
  <c r="J165" i="2"/>
  <c r="M166" i="2"/>
  <c r="AF166" i="2"/>
  <c r="O166" i="2"/>
  <c r="Q166" i="2"/>
  <c r="S166" i="2"/>
  <c r="Z150" i="2"/>
  <c r="T149" i="2"/>
  <c r="Z149" i="2" s="1"/>
  <c r="S144" i="2"/>
  <c r="AF144" i="2"/>
  <c r="AG144" i="2" s="1"/>
  <c r="N138" i="2"/>
  <c r="O139" i="2"/>
  <c r="Y89" i="2"/>
  <c r="AD89" i="2"/>
  <c r="AC88" i="2"/>
  <c r="M79" i="2"/>
  <c r="L78" i="2"/>
  <c r="S49" i="2"/>
  <c r="AF49" i="2"/>
  <c r="AG49" i="2" s="1"/>
  <c r="Y44" i="2"/>
  <c r="AC41" i="2"/>
  <c r="M217" i="2"/>
  <c r="AF217" i="2"/>
  <c r="AG217" i="2" s="1"/>
  <c r="O217" i="2"/>
  <c r="R214" i="2"/>
  <c r="O206" i="2"/>
  <c r="AF206" i="2"/>
  <c r="M206" i="2"/>
  <c r="Q206" i="2"/>
  <c r="AB206" i="2"/>
  <c r="AB205" i="2" s="1"/>
  <c r="AB204" i="2" s="1"/>
  <c r="AB177" i="2"/>
  <c r="AB168" i="2" s="1"/>
  <c r="Y166" i="2"/>
  <c r="AD166" i="2"/>
  <c r="AC165" i="2"/>
  <c r="AC162" i="2" s="1"/>
  <c r="F156" i="2"/>
  <c r="AA128" i="2"/>
  <c r="R95" i="2"/>
  <c r="S95" i="2" s="1"/>
  <c r="S97" i="2"/>
  <c r="AF97" i="2"/>
  <c r="AG97" i="2" s="1"/>
  <c r="W17" i="2"/>
  <c r="Z18" i="2"/>
  <c r="Q140" i="2"/>
  <c r="P139" i="2"/>
  <c r="T129" i="2"/>
  <c r="Z131" i="2"/>
  <c r="J101" i="2"/>
  <c r="S101" i="2" s="1"/>
  <c r="M102" i="2"/>
  <c r="O102" i="2"/>
  <c r="AF102" i="2"/>
  <c r="AG102" i="2" s="1"/>
  <c r="S102" i="2"/>
  <c r="S92" i="2"/>
  <c r="AF92" i="2"/>
  <c r="AG92" i="2" s="1"/>
  <c r="V78" i="2"/>
  <c r="V77" i="2" s="1"/>
  <c r="Y33" i="2"/>
  <c r="AD33" i="2"/>
  <c r="Q31" i="2"/>
  <c r="P30" i="2"/>
  <c r="AF256" i="2"/>
  <c r="AG256" i="2" s="1"/>
  <c r="M256" i="2"/>
  <c r="AD246" i="2"/>
  <c r="AD245" i="2" s="1"/>
  <c r="M246" i="2"/>
  <c r="AD239" i="2"/>
  <c r="AD224" i="2"/>
  <c r="Y224" i="2"/>
  <c r="Y223" i="2" s="1"/>
  <c r="Y222" i="2" s="1"/>
  <c r="M224" i="2"/>
  <c r="M211" i="2"/>
  <c r="AF211" i="2"/>
  <c r="AG211" i="2" s="1"/>
  <c r="M210" i="2"/>
  <c r="AF210" i="2"/>
  <c r="AG210" i="2" s="1"/>
  <c r="M209" i="2"/>
  <c r="AF209" i="2"/>
  <c r="AG209" i="2" s="1"/>
  <c r="M208" i="2"/>
  <c r="AF208" i="2"/>
  <c r="AG208" i="2" s="1"/>
  <c r="M207" i="2"/>
  <c r="AF207" i="2"/>
  <c r="AG207" i="2" s="1"/>
  <c r="R204" i="2"/>
  <c r="M185" i="2"/>
  <c r="AF185" i="2"/>
  <c r="AG185" i="2" s="1"/>
  <c r="O185" i="2"/>
  <c r="AD180" i="2"/>
  <c r="AD171" i="2"/>
  <c r="Y171" i="2"/>
  <c r="Z169" i="2"/>
  <c r="Z168" i="2" s="1"/>
  <c r="J169" i="2"/>
  <c r="M167" i="2"/>
  <c r="O167" i="2"/>
  <c r="AF167" i="2"/>
  <c r="AG167" i="2" s="1"/>
  <c r="O160" i="2"/>
  <c r="O159" i="2" s="1"/>
  <c r="Q160" i="2"/>
  <c r="Q159" i="2" s="1"/>
  <c r="AC150" i="2"/>
  <c r="AD151" i="2"/>
  <c r="Y151" i="2"/>
  <c r="AB150" i="2"/>
  <c r="AC144" i="2"/>
  <c r="T139" i="2"/>
  <c r="Z140" i="2"/>
  <c r="S135" i="2"/>
  <c r="AF135" i="2"/>
  <c r="AG135" i="2" s="1"/>
  <c r="R129" i="2"/>
  <c r="Z116" i="2"/>
  <c r="N109" i="2"/>
  <c r="O112" i="2"/>
  <c r="J109" i="2"/>
  <c r="AB109" i="2" s="1"/>
  <c r="AF112" i="2"/>
  <c r="AG112" i="2" s="1"/>
  <c r="Q112" i="2"/>
  <c r="O105" i="2"/>
  <c r="J104" i="2"/>
  <c r="AF105" i="2"/>
  <c r="AG105" i="2" s="1"/>
  <c r="AB102" i="2"/>
  <c r="AB92" i="2"/>
  <c r="AD91" i="2"/>
  <c r="Y91" i="2"/>
  <c r="AG73" i="2"/>
  <c r="Q73" i="2"/>
  <c r="M73" i="2"/>
  <c r="Q41" i="2"/>
  <c r="P40" i="2"/>
  <c r="AC31" i="2"/>
  <c r="Y146" i="2"/>
  <c r="AD146" i="2"/>
  <c r="AA138" i="2"/>
  <c r="Y102" i="2"/>
  <c r="AD102" i="2"/>
  <c r="AC101" i="2"/>
  <c r="AH204" i="2"/>
  <c r="V204" i="2"/>
  <c r="Q199" i="2"/>
  <c r="Q197" i="2"/>
  <c r="AE195" i="2"/>
  <c r="AE186" i="2" s="1"/>
  <c r="AA195" i="2"/>
  <c r="AA186" i="2" s="1"/>
  <c r="W195" i="2"/>
  <c r="W186" i="2" s="1"/>
  <c r="K195" i="2"/>
  <c r="M194" i="2"/>
  <c r="AF194" i="2"/>
  <c r="AG194" i="2" s="1"/>
  <c r="M193" i="2"/>
  <c r="AF193" i="2"/>
  <c r="AG193" i="2" s="1"/>
  <c r="M192" i="2"/>
  <c r="AF192" i="2"/>
  <c r="AG192" i="2" s="1"/>
  <c r="F190" i="2"/>
  <c r="F187" i="2" s="1"/>
  <c r="Y177" i="2"/>
  <c r="AD177" i="2"/>
  <c r="AD172" i="2"/>
  <c r="Y172" i="2"/>
  <c r="H169" i="2"/>
  <c r="H168" i="2" s="1"/>
  <c r="K168" i="2"/>
  <c r="AM168" i="2" s="1"/>
  <c r="AC140" i="2"/>
  <c r="AB139" i="2"/>
  <c r="P129" i="2"/>
  <c r="Q135" i="2"/>
  <c r="Y121" i="2"/>
  <c r="AD121" i="2"/>
  <c r="T115" i="2"/>
  <c r="Z120" i="2"/>
  <c r="H109" i="2"/>
  <c r="H108" i="2" s="1"/>
  <c r="W104" i="2"/>
  <c r="Z104" i="2" s="1"/>
  <c r="Z105" i="2"/>
  <c r="AC97" i="2"/>
  <c r="Y98" i="2"/>
  <c r="AD98" i="2"/>
  <c r="O73" i="2"/>
  <c r="L56" i="2"/>
  <c r="M57" i="2"/>
  <c r="F56" i="2"/>
  <c r="F55" i="2" s="1"/>
  <c r="AF36" i="2"/>
  <c r="AG36" i="2" s="1"/>
  <c r="S36" i="2"/>
  <c r="AD182" i="2"/>
  <c r="AF172" i="2"/>
  <c r="AG172" i="2" s="1"/>
  <c r="AF171" i="2"/>
  <c r="AG171" i="2" s="1"/>
  <c r="AF170" i="2"/>
  <c r="M170" i="2"/>
  <c r="AD163" i="2"/>
  <c r="AG158" i="2"/>
  <c r="AD157" i="2"/>
  <c r="M157" i="2"/>
  <c r="AD145" i="2"/>
  <c r="AD141" i="2"/>
  <c r="Y141" i="2"/>
  <c r="AD137" i="2"/>
  <c r="O135" i="2"/>
  <c r="L129" i="2"/>
  <c r="Z125" i="2"/>
  <c r="Q120" i="2"/>
  <c r="L115" i="2"/>
  <c r="L108" i="2" s="1"/>
  <c r="AF116" i="2"/>
  <c r="AG116" i="2" s="1"/>
  <c r="R115" i="2"/>
  <c r="J115" i="2"/>
  <c r="Y110" i="2"/>
  <c r="AD110" i="2"/>
  <c r="AO108" i="2"/>
  <c r="AB105" i="2"/>
  <c r="AA104" i="2"/>
  <c r="M105" i="2"/>
  <c r="M103" i="2"/>
  <c r="AF103" i="2"/>
  <c r="AG103" i="2" s="1"/>
  <c r="O103" i="2"/>
  <c r="AD100" i="2"/>
  <c r="Z95" i="2"/>
  <c r="O97" i="2"/>
  <c r="Y94" i="2"/>
  <c r="AD94" i="2"/>
  <c r="AC92" i="2"/>
  <c r="N87" i="2"/>
  <c r="O92" i="2"/>
  <c r="L87" i="2"/>
  <c r="Y70" i="2"/>
  <c r="AD70" i="2"/>
  <c r="Q57" i="2"/>
  <c r="S52" i="2"/>
  <c r="AF52" i="2"/>
  <c r="AG52" i="2" s="1"/>
  <c r="AA30" i="2"/>
  <c r="Y25" i="2"/>
  <c r="AD25" i="2"/>
  <c r="AC23" i="2"/>
  <c r="AB18" i="2"/>
  <c r="AF125" i="2"/>
  <c r="Y122" i="2"/>
  <c r="AD122" i="2"/>
  <c r="Q105" i="2"/>
  <c r="AF89" i="2"/>
  <c r="AG89" i="2" s="1"/>
  <c r="R88" i="2"/>
  <c r="AF88" i="2" s="1"/>
  <c r="AG88" i="2" s="1"/>
  <c r="S82" i="2"/>
  <c r="AF82" i="2"/>
  <c r="AG82" i="2" s="1"/>
  <c r="AD61" i="2"/>
  <c r="Y61" i="2"/>
  <c r="AD59" i="2"/>
  <c r="Y59" i="2"/>
  <c r="AC57" i="2"/>
  <c r="F40" i="2"/>
  <c r="L40" i="2"/>
  <c r="AF23" i="2"/>
  <c r="AG23" i="2" s="1"/>
  <c r="Q23" i="2"/>
  <c r="J22" i="2"/>
  <c r="J17" i="2" s="1"/>
  <c r="M23" i="2"/>
  <c r="AD113" i="2"/>
  <c r="Q97" i="2"/>
  <c r="Z92" i="2"/>
  <c r="Q92" i="2"/>
  <c r="Z88" i="2"/>
  <c r="J87" i="2"/>
  <c r="AD80" i="2"/>
  <c r="Y80" i="2"/>
  <c r="Z79" i="2"/>
  <c r="N78" i="2"/>
  <c r="J78" i="2"/>
  <c r="AD76" i="2"/>
  <c r="Y76" i="2"/>
  <c r="AB73" i="2"/>
  <c r="S73" i="2"/>
  <c r="AD67" i="2"/>
  <c r="Y67" i="2"/>
  <c r="AC64" i="2"/>
  <c r="Z64" i="2"/>
  <c r="AD63" i="2"/>
  <c r="Z57" i="2"/>
  <c r="X56" i="2"/>
  <c r="X55" i="2" s="1"/>
  <c r="T56" i="2"/>
  <c r="N40" i="2"/>
  <c r="J40" i="2"/>
  <c r="AC46" i="2"/>
  <c r="Y46" i="2" s="1"/>
  <c r="Y47" i="2"/>
  <c r="R40" i="2"/>
  <c r="AF46" i="2"/>
  <c r="Z41" i="2"/>
  <c r="M36" i="2"/>
  <c r="AK29" i="2"/>
  <c r="J30" i="2"/>
  <c r="AF31" i="2"/>
  <c r="AG31" i="2" s="1"/>
  <c r="AB23" i="2"/>
  <c r="AA22" i="2"/>
  <c r="O23" i="2"/>
  <c r="N22" i="2"/>
  <c r="R78" i="2"/>
  <c r="V40" i="2"/>
  <c r="W40" i="2"/>
  <c r="AC36" i="2"/>
  <c r="Y37" i="2"/>
  <c r="Q36" i="2"/>
  <c r="R17" i="2"/>
  <c r="AF18" i="2"/>
  <c r="AG18" i="2" s="1"/>
  <c r="M18" i="2"/>
  <c r="Q18" i="2"/>
  <c r="S79" i="2"/>
  <c r="O79" i="2"/>
  <c r="AD54" i="2"/>
  <c r="O49" i="2"/>
  <c r="AB31" i="2"/>
  <c r="H30" i="2"/>
  <c r="M26" i="2"/>
  <c r="L22" i="2"/>
  <c r="S23" i="2"/>
  <c r="M31" i="2"/>
  <c r="G6" i="3"/>
  <c r="AR236" i="2" l="1"/>
  <c r="AM236" i="2"/>
  <c r="AR244" i="2"/>
  <c r="AM244" i="2"/>
  <c r="AR40" i="2"/>
  <c r="AM40" i="2"/>
  <c r="AR109" i="2"/>
  <c r="AM109" i="2"/>
  <c r="AR162" i="2"/>
  <c r="AM162" i="2"/>
  <c r="AR215" i="2"/>
  <c r="AM215" i="2"/>
  <c r="AR260" i="2"/>
  <c r="AM260" i="2"/>
  <c r="K55" i="2"/>
  <c r="AM55" i="2" s="1"/>
  <c r="AM56" i="2"/>
  <c r="AR222" i="2"/>
  <c r="AM222" i="2"/>
  <c r="AR251" i="2"/>
  <c r="AM251" i="2"/>
  <c r="AR204" i="2"/>
  <c r="AM204" i="2"/>
  <c r="AR195" i="2"/>
  <c r="AM195" i="2"/>
  <c r="AR178" i="2"/>
  <c r="AM178" i="2"/>
  <c r="AR30" i="2"/>
  <c r="AM30" i="2"/>
  <c r="K77" i="2"/>
  <c r="AM77" i="2" s="1"/>
  <c r="AM78" i="2"/>
  <c r="AR257" i="2"/>
  <c r="AM257" i="2"/>
  <c r="AR187" i="2"/>
  <c r="AM187" i="2"/>
  <c r="AQ267" i="2"/>
  <c r="AR20" i="2"/>
  <c r="K17" i="2"/>
  <c r="AM17" i="2" s="1"/>
  <c r="AR22" i="2"/>
  <c r="K138" i="2"/>
  <c r="AR138" i="2" s="1"/>
  <c r="K155" i="2"/>
  <c r="AR168" i="2"/>
  <c r="K108" i="2"/>
  <c r="AR115" i="2"/>
  <c r="K86" i="2"/>
  <c r="AR86" i="2" s="1"/>
  <c r="AR87" i="2"/>
  <c r="AR81" i="2"/>
  <c r="K128" i="2"/>
  <c r="AR128" i="2" s="1"/>
  <c r="AR129" i="2"/>
  <c r="AB179" i="2"/>
  <c r="AB178" i="2" s="1"/>
  <c r="AB155" i="2" s="1"/>
  <c r="AK56" i="2"/>
  <c r="AK55" i="2" s="1"/>
  <c r="AP57" i="2"/>
  <c r="AP56" i="2" s="1"/>
  <c r="AP55" i="2" s="1"/>
  <c r="AP18" i="2"/>
  <c r="AP17" i="2" s="1"/>
  <c r="AP79" i="2"/>
  <c r="AP268" i="2" s="1"/>
  <c r="AQ57" i="2"/>
  <c r="AR57" i="2" s="1"/>
  <c r="AQ18" i="2"/>
  <c r="AR18" i="2" s="1"/>
  <c r="AQ79" i="2"/>
  <c r="O156" i="2"/>
  <c r="M159" i="2"/>
  <c r="K29" i="2"/>
  <c r="AM29" i="2" s="1"/>
  <c r="AD104" i="2"/>
  <c r="AD223" i="2"/>
  <c r="AD222" i="2" s="1"/>
  <c r="O30" i="2"/>
  <c r="O101" i="2"/>
  <c r="AK108" i="2"/>
  <c r="AK107" i="2" s="1"/>
  <c r="AK14" i="2" s="1"/>
  <c r="AO29" i="2"/>
  <c r="S190" i="2"/>
  <c r="S187" i="2" s="1"/>
  <c r="T154" i="2"/>
  <c r="T11" i="2" s="1"/>
  <c r="AD79" i="2"/>
  <c r="AF219" i="2"/>
  <c r="AF215" i="2" s="1"/>
  <c r="AC109" i="2"/>
  <c r="Y109" i="2" s="1"/>
  <c r="U154" i="2"/>
  <c r="U11" i="2" s="1"/>
  <c r="S215" i="2"/>
  <c r="O223" i="2"/>
  <c r="O222" i="2" s="1"/>
  <c r="AC115" i="2"/>
  <c r="Y115" i="2" s="1"/>
  <c r="Y18" i="2"/>
  <c r="AI154" i="2"/>
  <c r="F29" i="2"/>
  <c r="F16" i="2" s="1"/>
  <c r="J257" i="2"/>
  <c r="W107" i="2"/>
  <c r="W14" i="2" s="1"/>
  <c r="AD156" i="2"/>
  <c r="AA154" i="2"/>
  <c r="AA11" i="2" s="1"/>
  <c r="AD112" i="2"/>
  <c r="O56" i="2"/>
  <c r="M196" i="2"/>
  <c r="M195" i="2" s="1"/>
  <c r="Q232" i="2"/>
  <c r="AO79" i="2"/>
  <c r="Z78" i="2"/>
  <c r="AD238" i="2"/>
  <c r="AD236" i="2" s="1"/>
  <c r="AE154" i="2"/>
  <c r="AB186" i="2"/>
  <c r="F195" i="2"/>
  <c r="F186" i="2" s="1"/>
  <c r="W154" i="2"/>
  <c r="W11" i="2" s="1"/>
  <c r="Q183" i="2"/>
  <c r="Q178" i="2" s="1"/>
  <c r="Y52" i="2"/>
  <c r="S223" i="2"/>
  <c r="S222" i="2" s="1"/>
  <c r="Z251" i="2"/>
  <c r="AB223" i="2"/>
  <c r="AB222" i="2" s="1"/>
  <c r="AB214" i="2" s="1"/>
  <c r="M223" i="2"/>
  <c r="M222" i="2" s="1"/>
  <c r="Y120" i="2"/>
  <c r="AF156" i="2"/>
  <c r="AC235" i="2"/>
  <c r="AC154" i="2" s="1"/>
  <c r="AD252" i="2"/>
  <c r="AD251" i="2" s="1"/>
  <c r="M219" i="2"/>
  <c r="M215" i="2" s="1"/>
  <c r="AB55" i="2"/>
  <c r="Q223" i="2"/>
  <c r="Q222" i="2" s="1"/>
  <c r="S238" i="2"/>
  <c r="S236" i="2" s="1"/>
  <c r="S235" i="2" s="1"/>
  <c r="Q115" i="2"/>
  <c r="Z115" i="2"/>
  <c r="Y82" i="2"/>
  <c r="AD183" i="2"/>
  <c r="S196" i="2"/>
  <c r="S195" i="2" s="1"/>
  <c r="AD190" i="2"/>
  <c r="AD187" i="2" s="1"/>
  <c r="AG245" i="2"/>
  <c r="AG244" i="2" s="1"/>
  <c r="T29" i="2"/>
  <c r="H214" i="2"/>
  <c r="AG238" i="2"/>
  <c r="S115" i="2"/>
  <c r="N55" i="2"/>
  <c r="O55" i="2" s="1"/>
  <c r="O115" i="2"/>
  <c r="Z195" i="2"/>
  <c r="Z186" i="2" s="1"/>
  <c r="S40" i="2"/>
  <c r="O40" i="2"/>
  <c r="M156" i="2"/>
  <c r="Y195" i="2"/>
  <c r="AH153" i="2"/>
  <c r="Z235" i="2"/>
  <c r="Z154" i="2" s="1"/>
  <c r="Q55" i="2"/>
  <c r="H138" i="2"/>
  <c r="H107" i="2" s="1"/>
  <c r="H14" i="2" s="1"/>
  <c r="Q245" i="2"/>
  <c r="Q244" i="2" s="1"/>
  <c r="AG223" i="2"/>
  <c r="AG222" i="2" s="1"/>
  <c r="R138" i="2"/>
  <c r="S138" i="2" s="1"/>
  <c r="AB87" i="2"/>
  <c r="X107" i="2"/>
  <c r="X14" i="2" s="1"/>
  <c r="Y236" i="2"/>
  <c r="Z77" i="2"/>
  <c r="O138" i="2"/>
  <c r="AC195" i="2"/>
  <c r="AC186" i="2" s="1"/>
  <c r="P154" i="2"/>
  <c r="P11" i="2" s="1"/>
  <c r="J215" i="2"/>
  <c r="S228" i="2"/>
  <c r="AF238" i="2"/>
  <c r="AF236" i="2" s="1"/>
  <c r="R29" i="2"/>
  <c r="S156" i="2"/>
  <c r="Q156" i="2"/>
  <c r="S56" i="2"/>
  <c r="O238" i="2"/>
  <c r="O236" i="2" s="1"/>
  <c r="U153" i="2"/>
  <c r="U152" i="2"/>
  <c r="U15" i="2" s="1"/>
  <c r="AB255" i="2"/>
  <c r="AB251" i="2" s="1"/>
  <c r="AD135" i="2"/>
  <c r="S165" i="2"/>
  <c r="S162" i="2" s="1"/>
  <c r="AD196" i="2"/>
  <c r="AD195" i="2" s="1"/>
  <c r="AG219" i="2"/>
  <c r="Y116" i="2"/>
  <c r="Z40" i="2"/>
  <c r="X16" i="2"/>
  <c r="X9" i="2" s="1"/>
  <c r="AB104" i="2"/>
  <c r="AB138" i="2"/>
  <c r="Q40" i="2"/>
  <c r="R154" i="2"/>
  <c r="R11" i="2" s="1"/>
  <c r="O228" i="2"/>
  <c r="K214" i="2"/>
  <c r="AC214" i="2"/>
  <c r="AA86" i="2"/>
  <c r="AG196" i="2"/>
  <c r="AG195" i="2" s="1"/>
  <c r="AF223" i="2"/>
  <c r="AF222" i="2" s="1"/>
  <c r="Y187" i="2"/>
  <c r="AD228" i="2"/>
  <c r="U29" i="2"/>
  <c r="U16" i="2" s="1"/>
  <c r="U9" i="2" s="1"/>
  <c r="F178" i="2"/>
  <c r="F155" i="2" s="1"/>
  <c r="Y73" i="2"/>
  <c r="Q238" i="2"/>
  <c r="Q236" i="2" s="1"/>
  <c r="AF56" i="2"/>
  <c r="AG56" i="2" s="1"/>
  <c r="M255" i="2"/>
  <c r="M251" i="2" s="1"/>
  <c r="Q205" i="2"/>
  <c r="Q204" i="2" s="1"/>
  <c r="R152" i="2"/>
  <c r="R15" i="2" s="1"/>
  <c r="J236" i="2"/>
  <c r="M236" i="2"/>
  <c r="Z17" i="2"/>
  <c r="N154" i="2"/>
  <c r="N11" i="2" s="1"/>
  <c r="V29" i="2"/>
  <c r="V16" i="2" s="1"/>
  <c r="M40" i="2"/>
  <c r="Q109" i="2"/>
  <c r="V107" i="2"/>
  <c r="V14" i="2" s="1"/>
  <c r="L154" i="2"/>
  <c r="L11" i="2" s="1"/>
  <c r="F214" i="2"/>
  <c r="O252" i="2"/>
  <c r="O255" i="2"/>
  <c r="Z87" i="2"/>
  <c r="O129" i="2"/>
  <c r="H195" i="2"/>
  <c r="H186" i="2" s="1"/>
  <c r="S252" i="2"/>
  <c r="S251" i="2" s="1"/>
  <c r="H235" i="2"/>
  <c r="H154" i="2" s="1"/>
  <c r="H11" i="2" s="1"/>
  <c r="W86" i="2"/>
  <c r="Z86" i="2" s="1"/>
  <c r="Y215" i="2"/>
  <c r="Y214" i="2" s="1"/>
  <c r="H178" i="2"/>
  <c r="H155" i="2" s="1"/>
  <c r="H29" i="2"/>
  <c r="H16" i="2" s="1"/>
  <c r="H13" i="2" s="1"/>
  <c r="AD49" i="2"/>
  <c r="AB56" i="2"/>
  <c r="Q196" i="2"/>
  <c r="Q195" i="2" s="1"/>
  <c r="M245" i="2"/>
  <c r="M244" i="2" s="1"/>
  <c r="Q190" i="2"/>
  <c r="Q187" i="2" s="1"/>
  <c r="AK79" i="2"/>
  <c r="T108" i="2"/>
  <c r="Q165" i="2"/>
  <c r="Q162" i="2" s="1"/>
  <c r="F235" i="2"/>
  <c r="F154" i="2" s="1"/>
  <c r="F11" i="2" s="1"/>
  <c r="R153" i="2"/>
  <c r="V154" i="2"/>
  <c r="V11" i="2" s="1"/>
  <c r="AG129" i="2"/>
  <c r="Y178" i="2"/>
  <c r="Z178" i="2"/>
  <c r="Z155" i="2" s="1"/>
  <c r="Z30" i="2"/>
  <c r="AB22" i="2"/>
  <c r="Q56" i="2"/>
  <c r="M115" i="2"/>
  <c r="AH154" i="2"/>
  <c r="S55" i="2"/>
  <c r="Q104" i="2"/>
  <c r="S139" i="2"/>
  <c r="AD244" i="2"/>
  <c r="N29" i="2"/>
  <c r="AB154" i="2"/>
  <c r="J128" i="2"/>
  <c r="AG128" i="2" s="1"/>
  <c r="O187" i="2"/>
  <c r="K235" i="2"/>
  <c r="AF245" i="2"/>
  <c r="AF244" i="2" s="1"/>
  <c r="O244" i="2"/>
  <c r="AD219" i="2"/>
  <c r="AD215" i="2" s="1"/>
  <c r="U108" i="2"/>
  <c r="U107" i="2" s="1"/>
  <c r="U14" i="2" s="1"/>
  <c r="S104" i="2"/>
  <c r="AD179" i="2"/>
  <c r="AC78" i="2"/>
  <c r="Y78" i="2" s="1"/>
  <c r="S169" i="2"/>
  <c r="S168" i="2" s="1"/>
  <c r="J204" i="2"/>
  <c r="Z214" i="2"/>
  <c r="AC129" i="2"/>
  <c r="Y129" i="2" s="1"/>
  <c r="M179" i="2"/>
  <c r="AD116" i="2"/>
  <c r="O104" i="2"/>
  <c r="O219" i="2"/>
  <c r="O215" i="2" s="1"/>
  <c r="Q169" i="2"/>
  <c r="Q168" i="2" s="1"/>
  <c r="AD232" i="2"/>
  <c r="AD97" i="2"/>
  <c r="O195" i="2"/>
  <c r="M190" i="2"/>
  <c r="M187" i="2" s="1"/>
  <c r="M183" i="2"/>
  <c r="AD205" i="2"/>
  <c r="AD204" i="2" s="1"/>
  <c r="S179" i="2"/>
  <c r="S178" i="2" s="1"/>
  <c r="M169" i="2"/>
  <c r="M168" i="2" s="1"/>
  <c r="O205" i="2"/>
  <c r="O204" i="2" s="1"/>
  <c r="O169" i="2"/>
  <c r="O168" i="2" s="1"/>
  <c r="S205" i="2"/>
  <c r="S204" i="2" s="1"/>
  <c r="AF17" i="2"/>
  <c r="AG17" i="2" s="1"/>
  <c r="Q17" i="2"/>
  <c r="V153" i="2"/>
  <c r="V152" i="2"/>
  <c r="V15" i="2" s="1"/>
  <c r="S17" i="2"/>
  <c r="AC139" i="2"/>
  <c r="Y140" i="2"/>
  <c r="AD140" i="2"/>
  <c r="R128" i="2"/>
  <c r="S129" i="2"/>
  <c r="J162" i="2"/>
  <c r="X153" i="2"/>
  <c r="AG184" i="2"/>
  <c r="AG183" i="2" s="1"/>
  <c r="AF183" i="2"/>
  <c r="M139" i="2"/>
  <c r="L138" i="2"/>
  <c r="M138" i="2" s="1"/>
  <c r="O232" i="2"/>
  <c r="J260" i="2"/>
  <c r="M22" i="2"/>
  <c r="L17" i="2"/>
  <c r="N86" i="2"/>
  <c r="O87" i="2"/>
  <c r="L153" i="2"/>
  <c r="L152" i="2"/>
  <c r="L15" i="2" s="1"/>
  <c r="W153" i="2"/>
  <c r="W152" i="2"/>
  <c r="W15" i="2" s="1"/>
  <c r="Q30" i="2"/>
  <c r="P29" i="2"/>
  <c r="AD165" i="2"/>
  <c r="AD162" i="2" s="1"/>
  <c r="O165" i="2"/>
  <c r="O162" i="2" s="1"/>
  <c r="AG237" i="2"/>
  <c r="Y36" i="2"/>
  <c r="AD36" i="2"/>
  <c r="N17" i="2"/>
  <c r="O22" i="2"/>
  <c r="L29" i="2"/>
  <c r="AF40" i="2"/>
  <c r="AG40" i="2" s="1"/>
  <c r="T55" i="2"/>
  <c r="Z55" i="2" s="1"/>
  <c r="Z56" i="2"/>
  <c r="J77" i="2"/>
  <c r="AF78" i="2"/>
  <c r="AG78" i="2" s="1"/>
  <c r="Q78" i="2"/>
  <c r="AC22" i="2"/>
  <c r="Y23" i="2"/>
  <c r="AD23" i="2"/>
  <c r="W29" i="2"/>
  <c r="AF115" i="2"/>
  <c r="AG115" i="2" s="1"/>
  <c r="M129" i="2"/>
  <c r="L128" i="2"/>
  <c r="AF169" i="2"/>
  <c r="AF168" i="2" s="1"/>
  <c r="AG170" i="2"/>
  <c r="AG169" i="2" s="1"/>
  <c r="AG168" i="2" s="1"/>
  <c r="Y97" i="2"/>
  <c r="AC95" i="2"/>
  <c r="AF196" i="2"/>
  <c r="AF195" i="2" s="1"/>
  <c r="Y31" i="2"/>
  <c r="AD31" i="2"/>
  <c r="AC30" i="2"/>
  <c r="AB40" i="2"/>
  <c r="AF109" i="2"/>
  <c r="AG109" i="2" s="1"/>
  <c r="M109" i="2"/>
  <c r="J108" i="2"/>
  <c r="Q108" i="2" s="1"/>
  <c r="AA107" i="2"/>
  <c r="T138" i="2"/>
  <c r="Z138" i="2" s="1"/>
  <c r="Z139" i="2"/>
  <c r="AA152" i="2"/>
  <c r="AA15" i="2" s="1"/>
  <c r="AA153" i="2"/>
  <c r="AF101" i="2"/>
  <c r="AG101" i="2" s="1"/>
  <c r="Q101" i="2"/>
  <c r="AB101" i="2"/>
  <c r="M101" i="2"/>
  <c r="T128" i="2"/>
  <c r="Z128" i="2" s="1"/>
  <c r="Z129" i="2"/>
  <c r="Y165" i="2"/>
  <c r="Y162" i="2" s="1"/>
  <c r="M205" i="2"/>
  <c r="M204" i="2" s="1"/>
  <c r="Y41" i="2"/>
  <c r="AD41" i="2"/>
  <c r="AC40" i="2"/>
  <c r="AF55" i="2"/>
  <c r="AG55" i="2" s="1"/>
  <c r="AC87" i="2"/>
  <c r="Y88" i="2"/>
  <c r="AD88" i="2"/>
  <c r="AG166" i="2"/>
  <c r="AG165" i="2" s="1"/>
  <c r="AG162" i="2" s="1"/>
  <c r="AF165" i="2"/>
  <c r="AF162" i="2" s="1"/>
  <c r="AD169" i="2"/>
  <c r="AD168" i="2" s="1"/>
  <c r="Q219" i="2"/>
  <c r="Q215" i="2" s="1"/>
  <c r="AG156" i="2"/>
  <c r="K186" i="2"/>
  <c r="AG229" i="2"/>
  <c r="AG228" i="2" s="1"/>
  <c r="AF228" i="2"/>
  <c r="M232" i="2"/>
  <c r="AF252" i="2"/>
  <c r="AF251" i="2" s="1"/>
  <c r="AG253" i="2"/>
  <c r="AG252" i="2" s="1"/>
  <c r="AG251" i="2" s="1"/>
  <c r="AB115" i="2"/>
  <c r="J178" i="2"/>
  <c r="AF179" i="2"/>
  <c r="AG180" i="2"/>
  <c r="AG179" i="2" s="1"/>
  <c r="AU187" i="2"/>
  <c r="J195" i="2"/>
  <c r="AF261" i="2"/>
  <c r="AF260" i="2" s="1"/>
  <c r="AG262" i="2"/>
  <c r="AG261" i="2" s="1"/>
  <c r="AG260" i="2" s="1"/>
  <c r="R77" i="2"/>
  <c r="S78" i="2"/>
  <c r="Q22" i="2"/>
  <c r="AF22" i="2"/>
  <c r="AG22" i="2" s="1"/>
  <c r="Y92" i="2"/>
  <c r="AD92" i="2"/>
  <c r="Q129" i="2"/>
  <c r="P128" i="2"/>
  <c r="AI153" i="2"/>
  <c r="AI152" i="2"/>
  <c r="O109" i="2"/>
  <c r="N108" i="2"/>
  <c r="M78" i="2"/>
  <c r="L77" i="2"/>
  <c r="AG216" i="2"/>
  <c r="J251" i="2"/>
  <c r="J29" i="2"/>
  <c r="AF30" i="2"/>
  <c r="AG30" i="2" s="1"/>
  <c r="AD57" i="2"/>
  <c r="Y57" i="2"/>
  <c r="AC56" i="2"/>
  <c r="AA17" i="2"/>
  <c r="AA29" i="2"/>
  <c r="AB30" i="2"/>
  <c r="L55" i="2"/>
  <c r="M55" i="2" s="1"/>
  <c r="M56" i="2"/>
  <c r="Y169" i="2"/>
  <c r="Y168" i="2" s="1"/>
  <c r="S22" i="2"/>
  <c r="M30" i="2"/>
  <c r="AD64" i="2"/>
  <c r="Y64" i="2"/>
  <c r="N77" i="2"/>
  <c r="O78" i="2"/>
  <c r="J86" i="2"/>
  <c r="Q86" i="2" s="1"/>
  <c r="S30" i="2"/>
  <c r="R87" i="2"/>
  <c r="AF87" i="2" s="1"/>
  <c r="AG87" i="2" s="1"/>
  <c r="S88" i="2"/>
  <c r="M87" i="2"/>
  <c r="L86" i="2"/>
  <c r="AF95" i="2"/>
  <c r="AG95" i="2" s="1"/>
  <c r="AD101" i="2"/>
  <c r="Y101" i="2"/>
  <c r="M104" i="2"/>
  <c r="AF104" i="2"/>
  <c r="AG104" i="2" s="1"/>
  <c r="Y144" i="2"/>
  <c r="AD144" i="2"/>
  <c r="Y150" i="2"/>
  <c r="AD150" i="2"/>
  <c r="AC149" i="2"/>
  <c r="AE153" i="2"/>
  <c r="AE152" i="2"/>
  <c r="J168" i="2"/>
  <c r="Q139" i="2"/>
  <c r="P138" i="2"/>
  <c r="Q138" i="2" s="1"/>
  <c r="AG206" i="2"/>
  <c r="AG205" i="2" s="1"/>
  <c r="AG204" i="2" s="1"/>
  <c r="AF205" i="2"/>
  <c r="AF204" i="2" s="1"/>
  <c r="N152" i="2"/>
  <c r="N15" i="2" s="1"/>
  <c r="N153" i="2"/>
  <c r="M165" i="2"/>
  <c r="M162" i="2" s="1"/>
  <c r="AC178" i="2"/>
  <c r="AC155" i="2" s="1"/>
  <c r="Y205" i="2"/>
  <c r="Y204" i="2" s="1"/>
  <c r="T153" i="2"/>
  <c r="T152" i="2"/>
  <c r="T15" i="2" s="1"/>
  <c r="AF190" i="2"/>
  <c r="AF187" i="2" s="1"/>
  <c r="AG191" i="2"/>
  <c r="AG190" i="2" s="1"/>
  <c r="AG187" i="2" s="1"/>
  <c r="J222" i="2"/>
  <c r="M228" i="2"/>
  <c r="AC251" i="2"/>
  <c r="S109" i="2"/>
  <c r="R108" i="2"/>
  <c r="AH152" i="2"/>
  <c r="O183" i="2"/>
  <c r="S232" i="2"/>
  <c r="P153" i="2"/>
  <c r="P152" i="2"/>
  <c r="P15" i="2" s="1"/>
  <c r="AU168" i="2"/>
  <c r="AU155" i="2" s="1"/>
  <c r="Q87" i="2"/>
  <c r="O179" i="2"/>
  <c r="AF232" i="2"/>
  <c r="AG233" i="2"/>
  <c r="AG232" i="2" s="1"/>
  <c r="Y251" i="2"/>
  <c r="J6" i="3"/>
  <c r="H6" i="3"/>
  <c r="AR186" i="2" l="1"/>
  <c r="AM186" i="2"/>
  <c r="AR214" i="2"/>
  <c r="AM214" i="2"/>
  <c r="AR108" i="2"/>
  <c r="AM108" i="2"/>
  <c r="AR155" i="2"/>
  <c r="AM155" i="2"/>
  <c r="AR235" i="2"/>
  <c r="AM235" i="2"/>
  <c r="K16" i="2"/>
  <c r="AR29" i="2"/>
  <c r="K107" i="2"/>
  <c r="AM107" i="2" s="1"/>
  <c r="AQ268" i="2"/>
  <c r="AQ272" i="2" s="1"/>
  <c r="AR79" i="2"/>
  <c r="AP272" i="2"/>
  <c r="AK78" i="2"/>
  <c r="AK77" i="2" s="1"/>
  <c r="AK16" i="2" s="1"/>
  <c r="AK9" i="2" s="1"/>
  <c r="AP78" i="2"/>
  <c r="AP77" i="2" s="1"/>
  <c r="AP16" i="2" s="1"/>
  <c r="AP13" i="2" s="1"/>
  <c r="AQ17" i="2"/>
  <c r="AR17" i="2" s="1"/>
  <c r="AQ78" i="2"/>
  <c r="AR78" i="2" s="1"/>
  <c r="AQ56" i="2"/>
  <c r="AR56" i="2" s="1"/>
  <c r="K152" i="2"/>
  <c r="AM152" i="2" s="1"/>
  <c r="K153" i="2"/>
  <c r="AM153" i="2" s="1"/>
  <c r="K154" i="2"/>
  <c r="AM154" i="2" s="1"/>
  <c r="AD109" i="2"/>
  <c r="J186" i="2"/>
  <c r="W10" i="2"/>
  <c r="Z11" i="2"/>
  <c r="AO78" i="2"/>
  <c r="AC11" i="2"/>
  <c r="AD235" i="2"/>
  <c r="AD154" i="2" s="1"/>
  <c r="AD115" i="2"/>
  <c r="F9" i="2"/>
  <c r="F13" i="2"/>
  <c r="AC108" i="2"/>
  <c r="AD108" i="2" s="1"/>
  <c r="Q214" i="2"/>
  <c r="U10" i="2"/>
  <c r="U7" i="2" s="1"/>
  <c r="AG215" i="2"/>
  <c r="AG214" i="2" s="1"/>
  <c r="AG236" i="2"/>
  <c r="AG235" i="2" s="1"/>
  <c r="AG154" i="2" s="1"/>
  <c r="U13" i="2"/>
  <c r="S186" i="2"/>
  <c r="V10" i="2"/>
  <c r="J235" i="2"/>
  <c r="O235" i="2"/>
  <c r="O154" i="2" s="1"/>
  <c r="AB128" i="2"/>
  <c r="Q128" i="2"/>
  <c r="S128" i="2"/>
  <c r="O128" i="2"/>
  <c r="M128" i="2"/>
  <c r="AD178" i="2"/>
  <c r="AD155" i="2" s="1"/>
  <c r="AF29" i="2"/>
  <c r="AG29" i="2" s="1"/>
  <c r="X10" i="2"/>
  <c r="AF138" i="2"/>
  <c r="AG138" i="2" s="1"/>
  <c r="AD129" i="2"/>
  <c r="M77" i="2"/>
  <c r="Z29" i="2"/>
  <c r="F153" i="2"/>
  <c r="F10" i="2" s="1"/>
  <c r="F152" i="2"/>
  <c r="F15" i="2" s="1"/>
  <c r="M235" i="2"/>
  <c r="M154" i="2" s="1"/>
  <c r="Q235" i="2"/>
  <c r="Q154" i="2" s="1"/>
  <c r="AD214" i="2"/>
  <c r="S214" i="2"/>
  <c r="X13" i="2"/>
  <c r="AC128" i="2"/>
  <c r="AD128" i="2" s="1"/>
  <c r="AF178" i="2"/>
  <c r="AF155" i="2" s="1"/>
  <c r="O251" i="2"/>
  <c r="Y186" i="2"/>
  <c r="O178" i="2"/>
  <c r="O155" i="2" s="1"/>
  <c r="AF235" i="2"/>
  <c r="AF154" i="2" s="1"/>
  <c r="AC77" i="2"/>
  <c r="Y77" i="2" s="1"/>
  <c r="S154" i="2"/>
  <c r="AD186" i="2"/>
  <c r="V13" i="2"/>
  <c r="V9" i="2"/>
  <c r="O214" i="2"/>
  <c r="AD78" i="2"/>
  <c r="M86" i="2"/>
  <c r="O186" i="2"/>
  <c r="Q186" i="2"/>
  <c r="Z108" i="2"/>
  <c r="H153" i="2"/>
  <c r="H10" i="2" s="1"/>
  <c r="H152" i="2"/>
  <c r="H15" i="2" s="1"/>
  <c r="O86" i="2"/>
  <c r="H9" i="2"/>
  <c r="AF186" i="2"/>
  <c r="L107" i="2"/>
  <c r="L10" i="2" s="1"/>
  <c r="O77" i="2"/>
  <c r="S155" i="2"/>
  <c r="S77" i="2"/>
  <c r="AB152" i="2"/>
  <c r="P107" i="2"/>
  <c r="P10" i="2" s="1"/>
  <c r="Q155" i="2"/>
  <c r="M178" i="2"/>
  <c r="M155" i="2" s="1"/>
  <c r="AG186" i="2"/>
  <c r="M186" i="2"/>
  <c r="Y155" i="2"/>
  <c r="S108" i="2"/>
  <c r="R107" i="2"/>
  <c r="AC15" i="2"/>
  <c r="Z15" i="2"/>
  <c r="Z152" i="2"/>
  <c r="Z153" i="2"/>
  <c r="AC55" i="2"/>
  <c r="AD56" i="2"/>
  <c r="Y56" i="2"/>
  <c r="AC152" i="2"/>
  <c r="AC153" i="2"/>
  <c r="Y95" i="2"/>
  <c r="AD95" i="2"/>
  <c r="Y139" i="2"/>
  <c r="AC138" i="2"/>
  <c r="AD139" i="2"/>
  <c r="AB29" i="2"/>
  <c r="AB153" i="2"/>
  <c r="AF214" i="2"/>
  <c r="O108" i="2"/>
  <c r="N107" i="2"/>
  <c r="AU186" i="2"/>
  <c r="AU153" i="2" s="1"/>
  <c r="AF77" i="2"/>
  <c r="AG77" i="2" s="1"/>
  <c r="Q77" i="2"/>
  <c r="M29" i="2"/>
  <c r="Q29" i="2"/>
  <c r="P16" i="2"/>
  <c r="J155" i="2"/>
  <c r="S29" i="2"/>
  <c r="J16" i="2"/>
  <c r="AA14" i="2"/>
  <c r="AA10" i="2"/>
  <c r="Y22" i="2"/>
  <c r="AD22" i="2"/>
  <c r="AC17" i="2"/>
  <c r="O17" i="2"/>
  <c r="N16" i="2"/>
  <c r="AD40" i="2"/>
  <c r="Y40" i="2"/>
  <c r="AF108" i="2"/>
  <c r="AG108" i="2" s="1"/>
  <c r="J107" i="2"/>
  <c r="L16" i="2"/>
  <c r="M17" i="2"/>
  <c r="M214" i="2"/>
  <c r="AD149" i="2"/>
  <c r="Y149" i="2"/>
  <c r="M108" i="2"/>
  <c r="R86" i="2"/>
  <c r="S86" i="2" s="1"/>
  <c r="S87" i="2"/>
  <c r="J214" i="2"/>
  <c r="AA16" i="2"/>
  <c r="AB17" i="2"/>
  <c r="AG178" i="2"/>
  <c r="AG155" i="2" s="1"/>
  <c r="Y87" i="2"/>
  <c r="AD87" i="2"/>
  <c r="AC86" i="2"/>
  <c r="W16" i="2"/>
  <c r="AB108" i="2"/>
  <c r="AD30" i="2"/>
  <c r="AC29" i="2"/>
  <c r="Y30" i="2"/>
  <c r="T16" i="2"/>
  <c r="AB86" i="2"/>
  <c r="O29" i="2"/>
  <c r="T107" i="2"/>
  <c r="E6" i="3"/>
  <c r="K9" i="2" l="1"/>
  <c r="AM9" i="2" s="1"/>
  <c r="AM16" i="2"/>
  <c r="K13" i="2"/>
  <c r="AM13" i="2" s="1"/>
  <c r="K10" i="2"/>
  <c r="AR153" i="2"/>
  <c r="K15" i="2"/>
  <c r="AR152" i="2"/>
  <c r="K11" i="2"/>
  <c r="AR154" i="2"/>
  <c r="K14" i="2"/>
  <c r="AR107" i="2"/>
  <c r="AK13" i="2"/>
  <c r="AP9" i="2"/>
  <c r="AP7" i="2" s="1"/>
  <c r="AQ55" i="2"/>
  <c r="AQ77" i="2"/>
  <c r="F7" i="2"/>
  <c r="J154" i="2"/>
  <c r="J11" i="2" s="1"/>
  <c r="O11" i="2" s="1"/>
  <c r="Y128" i="2"/>
  <c r="AO77" i="2"/>
  <c r="AD153" i="2"/>
  <c r="AU10" i="2"/>
  <c r="Y108" i="2"/>
  <c r="V7" i="2"/>
  <c r="AC107" i="2"/>
  <c r="Y107" i="2" s="1"/>
  <c r="Y153" i="2"/>
  <c r="L14" i="2"/>
  <c r="AD77" i="2"/>
  <c r="P14" i="2"/>
  <c r="S152" i="2"/>
  <c r="Q153" i="2"/>
  <c r="R16" i="2"/>
  <c r="R9" i="2" s="1"/>
  <c r="O153" i="2"/>
  <c r="AF152" i="2"/>
  <c r="Q152" i="2"/>
  <c r="H7" i="2"/>
  <c r="AF153" i="2"/>
  <c r="S153" i="2"/>
  <c r="O152" i="2"/>
  <c r="M152" i="2"/>
  <c r="AD152" i="2"/>
  <c r="W9" i="2"/>
  <c r="W7" i="2" s="1"/>
  <c r="W13" i="2"/>
  <c r="N10" i="2"/>
  <c r="N14" i="2"/>
  <c r="O107" i="2"/>
  <c r="AD86" i="2"/>
  <c r="Y86" i="2"/>
  <c r="AA9" i="2"/>
  <c r="AA7" i="2" s="1"/>
  <c r="AA13" i="2"/>
  <c r="AB16" i="2"/>
  <c r="J14" i="2"/>
  <c r="AF107" i="2"/>
  <c r="AG107" i="2" s="1"/>
  <c r="J9" i="2"/>
  <c r="J13" i="2"/>
  <c r="AF86" i="2"/>
  <c r="AG86" i="2" s="1"/>
  <c r="M153" i="2"/>
  <c r="R10" i="2"/>
  <c r="R14" i="2"/>
  <c r="S107" i="2"/>
  <c r="AD17" i="2"/>
  <c r="AC16" i="2"/>
  <c r="Y17" i="2"/>
  <c r="Y138" i="2"/>
  <c r="AD138" i="2"/>
  <c r="M107" i="2"/>
  <c r="AG152" i="2"/>
  <c r="AG153" i="2"/>
  <c r="L9" i="2"/>
  <c r="L13" i="2"/>
  <c r="M16" i="2"/>
  <c r="N9" i="2"/>
  <c r="N13" i="2"/>
  <c r="O16" i="2"/>
  <c r="Y55" i="2"/>
  <c r="AD55" i="2"/>
  <c r="T10" i="2"/>
  <c r="Z107" i="2"/>
  <c r="T14" i="2"/>
  <c r="Y29" i="2"/>
  <c r="AD29" i="2"/>
  <c r="T9" i="2"/>
  <c r="T13" i="2"/>
  <c r="Z16" i="2"/>
  <c r="AB107" i="2"/>
  <c r="J152" i="2"/>
  <c r="J15" i="2" s="1"/>
  <c r="J153" i="2"/>
  <c r="J10" i="2" s="1"/>
  <c r="Q10" i="2" s="1"/>
  <c r="P9" i="2"/>
  <c r="Q16" i="2"/>
  <c r="P13" i="2"/>
  <c r="Q107" i="2"/>
  <c r="F33" i="3"/>
  <c r="AR11" i="2" l="1"/>
  <c r="AM11" i="2"/>
  <c r="AR14" i="2"/>
  <c r="AM14" i="2"/>
  <c r="AR15" i="2"/>
  <c r="AM15" i="2"/>
  <c r="AR10" i="2"/>
  <c r="AM10" i="2"/>
  <c r="K7" i="2"/>
  <c r="AM7" i="2" s="1"/>
  <c r="AR55" i="2"/>
  <c r="AR77" i="2"/>
  <c r="AQ16" i="2"/>
  <c r="AR16" i="2" s="1"/>
  <c r="Q11" i="2"/>
  <c r="AD11" i="2"/>
  <c r="S11" i="2"/>
  <c r="AD107" i="2"/>
  <c r="M11" i="2"/>
  <c r="AF11" i="2"/>
  <c r="AG11" i="2" s="1"/>
  <c r="AB11" i="2"/>
  <c r="AO16" i="2"/>
  <c r="S14" i="2"/>
  <c r="S16" i="2"/>
  <c r="R13" i="2"/>
  <c r="AF13" i="2" s="1"/>
  <c r="AG13" i="2" s="1"/>
  <c r="AF16" i="2"/>
  <c r="AG16" i="2" s="1"/>
  <c r="Q14" i="2"/>
  <c r="AB14" i="2"/>
  <c r="M14" i="2"/>
  <c r="AF9" i="2"/>
  <c r="AG9" i="2" s="1"/>
  <c r="M9" i="2"/>
  <c r="M13" i="2"/>
  <c r="L7" i="2"/>
  <c r="Q9" i="2"/>
  <c r="O10" i="2"/>
  <c r="N7" i="2"/>
  <c r="Q13" i="2"/>
  <c r="AF15" i="2"/>
  <c r="AG15" i="2" s="1"/>
  <c r="S15" i="2"/>
  <c r="M15" i="2"/>
  <c r="O15" i="2"/>
  <c r="AB15" i="2"/>
  <c r="Q15" i="2"/>
  <c r="T7" i="2"/>
  <c r="AC10" i="2"/>
  <c r="Z10" i="2"/>
  <c r="O9" i="2"/>
  <c r="AD16" i="2"/>
  <c r="Y16" i="2"/>
  <c r="AB13" i="2"/>
  <c r="Z13" i="2"/>
  <c r="AC13" i="2"/>
  <c r="AC14" i="2"/>
  <c r="Z14" i="2"/>
  <c r="R7" i="2"/>
  <c r="S10" i="2"/>
  <c r="J7" i="2"/>
  <c r="AF10" i="2"/>
  <c r="AG10" i="2" s="1"/>
  <c r="Z9" i="2"/>
  <c r="AC9" i="2"/>
  <c r="O13" i="2"/>
  <c r="AB10" i="2"/>
  <c r="M10" i="2"/>
  <c r="P7" i="2"/>
  <c r="AF14" i="2"/>
  <c r="AG14" i="2" s="1"/>
  <c r="AB9" i="2"/>
  <c r="AD15" i="2"/>
  <c r="O14" i="2"/>
  <c r="S9" i="2"/>
  <c r="J33" i="3"/>
  <c r="AQ9" i="2" l="1"/>
  <c r="AR9" i="2" s="1"/>
  <c r="AQ13" i="2"/>
  <c r="AO9" i="2"/>
  <c r="AO13" i="2"/>
  <c r="S13" i="2"/>
  <c r="AF7" i="2"/>
  <c r="AG7" i="2" s="1"/>
  <c r="S7" i="2"/>
  <c r="AD13" i="2"/>
  <c r="Y13" i="2"/>
  <c r="AC7" i="2"/>
  <c r="Z7" i="2"/>
  <c r="Q7" i="2"/>
  <c r="AD9" i="2"/>
  <c r="Y9" i="2"/>
  <c r="AB7" i="2"/>
  <c r="Y14" i="2"/>
  <c r="AD14" i="2"/>
  <c r="Y10" i="2"/>
  <c r="AD10" i="2"/>
  <c r="O7" i="2"/>
  <c r="M7" i="2"/>
  <c r="L33" i="3"/>
  <c r="AR13" i="2" l="1"/>
  <c r="AQ7" i="2"/>
  <c r="AD7" i="2"/>
  <c r="G33" i="3"/>
  <c r="C33" i="3"/>
  <c r="E33" i="3"/>
  <c r="AR7" i="2" l="1"/>
  <c r="C6" i="3"/>
  <c r="C7" i="3" l="1"/>
  <c r="L6" i="3" l="1"/>
  <c r="L34" i="3" l="1"/>
  <c r="L32" i="3"/>
  <c r="H34" i="3"/>
  <c r="H32" i="3"/>
  <c r="L24" i="3"/>
  <c r="L21" i="3"/>
  <c r="H24" i="3"/>
  <c r="J24" i="3"/>
  <c r="H21" i="3"/>
  <c r="D32" i="3" l="1"/>
  <c r="F32" i="3"/>
  <c r="F31" i="3"/>
  <c r="F34" i="3"/>
  <c r="D31" i="3"/>
  <c r="D33" i="3"/>
  <c r="D34" i="3"/>
  <c r="D14" i="3"/>
  <c r="D15" i="3"/>
  <c r="D17" i="3"/>
  <c r="D18" i="3"/>
  <c r="D20" i="3"/>
  <c r="D21" i="3"/>
  <c r="D22" i="3"/>
  <c r="D23" i="3"/>
  <c r="D24" i="3"/>
  <c r="D26" i="3"/>
  <c r="D27" i="3"/>
  <c r="D47" i="3" s="1"/>
  <c r="D28" i="3"/>
  <c r="F14" i="3"/>
  <c r="F15" i="3"/>
  <c r="F17" i="3"/>
  <c r="F18" i="3"/>
  <c r="F20" i="3"/>
  <c r="F21" i="3"/>
  <c r="F22" i="3"/>
  <c r="F23" i="3"/>
  <c r="F24" i="3"/>
  <c r="F26" i="3"/>
  <c r="F27" i="3"/>
  <c r="F47" i="3" s="1"/>
  <c r="F28" i="3"/>
  <c r="D4" i="3"/>
  <c r="F4" i="3"/>
  <c r="D5" i="3"/>
  <c r="F5" i="3"/>
  <c r="D6" i="3"/>
  <c r="F6" i="3"/>
  <c r="D7" i="3"/>
  <c r="D43" i="3" s="1"/>
  <c r="F7" i="3"/>
  <c r="F43" i="3" s="1"/>
  <c r="D8" i="3"/>
  <c r="F8" i="3"/>
  <c r="F44" i="3" s="1"/>
  <c r="D9" i="3"/>
  <c r="F9" i="3"/>
  <c r="D10" i="3"/>
  <c r="F10" i="3"/>
  <c r="F41" i="3" l="1"/>
  <c r="F46" i="3"/>
  <c r="D46" i="3"/>
  <c r="D44" i="3"/>
  <c r="D41" i="3"/>
  <c r="F3" i="3"/>
  <c r="F25" i="3"/>
  <c r="D25" i="3"/>
  <c r="F48" i="3"/>
  <c r="D48" i="3"/>
  <c r="K6" i="3"/>
  <c r="I6" i="3"/>
  <c r="M6" i="3"/>
  <c r="F19" i="3"/>
  <c r="F45" i="3" s="1"/>
  <c r="F16" i="3"/>
  <c r="F40" i="3" s="1"/>
  <c r="F13" i="3"/>
  <c r="F42" i="3" s="1"/>
  <c r="D19" i="3"/>
  <c r="D45" i="3" s="1"/>
  <c r="D16" i="3"/>
  <c r="D40" i="3" s="1"/>
  <c r="D13" i="3"/>
  <c r="D42" i="3" s="1"/>
  <c r="D3" i="3"/>
  <c r="D30" i="3"/>
  <c r="F30" i="3"/>
  <c r="D39" i="3" l="1"/>
  <c r="F39" i="3"/>
  <c r="D12" i="3"/>
  <c r="D36" i="3" s="1"/>
  <c r="F12" i="3"/>
  <c r="F36" i="3" s="1"/>
  <c r="J34" i="3" l="1"/>
  <c r="G34" i="3"/>
  <c r="C34" i="3"/>
  <c r="J21" i="3"/>
  <c r="G21" i="3"/>
  <c r="E21" i="3"/>
  <c r="C21" i="3"/>
  <c r="K21" i="3" l="1"/>
  <c r="I21" i="3"/>
  <c r="M21" i="3"/>
  <c r="K34" i="3"/>
  <c r="I34" i="3"/>
  <c r="M34" i="3"/>
  <c r="E34" i="3"/>
  <c r="J27" i="3" l="1"/>
  <c r="J47" i="3" s="1"/>
  <c r="L31" i="3" l="1"/>
  <c r="L30" i="3" s="1"/>
  <c r="L27" i="3"/>
  <c r="L47" i="3" s="1"/>
  <c r="H31" i="3"/>
  <c r="M33" i="3"/>
  <c r="H27" i="3"/>
  <c r="H47" i="3" s="1"/>
  <c r="J15" i="3"/>
  <c r="H15" i="3"/>
  <c r="J23" i="3"/>
  <c r="J25" i="3" s="1"/>
  <c r="H23" i="3"/>
  <c r="E31" i="3"/>
  <c r="C31" i="3"/>
  <c r="L23" i="3" l="1"/>
  <c r="L25" i="3" s="1"/>
  <c r="H25" i="3"/>
  <c r="J32" i="3"/>
  <c r="J31" i="3"/>
  <c r="G31" i="3"/>
  <c r="C32" i="3"/>
  <c r="E23" i="3"/>
  <c r="C23" i="3"/>
  <c r="E32" i="3"/>
  <c r="E30" i="3" s="1"/>
  <c r="G15" i="3"/>
  <c r="G32" i="3"/>
  <c r="G27" i="3"/>
  <c r="G47" i="3" s="1"/>
  <c r="E15" i="3"/>
  <c r="C15" i="3"/>
  <c r="E27" i="3"/>
  <c r="E47" i="3" s="1"/>
  <c r="H22" i="3"/>
  <c r="H48" i="3" s="1"/>
  <c r="H28" i="3"/>
  <c r="J20" i="3"/>
  <c r="J19" i="3" s="1"/>
  <c r="G20" i="3"/>
  <c r="E20" i="3"/>
  <c r="E19" i="3" s="1"/>
  <c r="C20" i="3"/>
  <c r="C19" i="3" s="1"/>
  <c r="L15" i="3" l="1"/>
  <c r="M15" i="3" s="1"/>
  <c r="L28" i="3"/>
  <c r="K47" i="3"/>
  <c r="M47" i="3"/>
  <c r="I47" i="3"/>
  <c r="L22" i="3"/>
  <c r="L48" i="3" s="1"/>
  <c r="J18" i="3"/>
  <c r="G30" i="3"/>
  <c r="L20" i="3"/>
  <c r="L19" i="3" s="1"/>
  <c r="H20" i="3"/>
  <c r="H19" i="3" s="1"/>
  <c r="H18" i="3"/>
  <c r="C30" i="3"/>
  <c r="K20" i="3"/>
  <c r="K27" i="3"/>
  <c r="I27" i="3"/>
  <c r="M27" i="3"/>
  <c r="K32" i="3"/>
  <c r="I32" i="3"/>
  <c r="M32" i="3"/>
  <c r="K15" i="3"/>
  <c r="I15" i="3"/>
  <c r="K31" i="3"/>
  <c r="I31" i="3"/>
  <c r="M31" i="3"/>
  <c r="J28" i="3"/>
  <c r="G23" i="3"/>
  <c r="J26" i="3"/>
  <c r="G19" i="3"/>
  <c r="E24" i="3"/>
  <c r="E25" i="3" s="1"/>
  <c r="H26" i="3"/>
  <c r="C22" i="3"/>
  <c r="C48" i="3" s="1"/>
  <c r="G24" i="3"/>
  <c r="C24" i="3"/>
  <c r="C25" i="3" s="1"/>
  <c r="C27" i="3"/>
  <c r="C47" i="3" s="1"/>
  <c r="I20" i="3" l="1"/>
  <c r="L26" i="3"/>
  <c r="L18" i="3"/>
  <c r="E22" i="3"/>
  <c r="E48" i="3" s="1"/>
  <c r="G14" i="3"/>
  <c r="C26" i="3"/>
  <c r="M30" i="3"/>
  <c r="G25" i="3"/>
  <c r="M20" i="3"/>
  <c r="L14" i="3"/>
  <c r="K24" i="3"/>
  <c r="I24" i="3"/>
  <c r="M24" i="3"/>
  <c r="K19" i="3"/>
  <c r="I19" i="3"/>
  <c r="M19" i="3"/>
  <c r="K23" i="3"/>
  <c r="I23" i="3"/>
  <c r="M23" i="3"/>
  <c r="E14" i="3"/>
  <c r="E13" i="3" s="1"/>
  <c r="E42" i="3" s="1"/>
  <c r="G26" i="3"/>
  <c r="E26" i="3"/>
  <c r="G18" i="3"/>
  <c r="G28" i="3"/>
  <c r="E18" i="3"/>
  <c r="E28" i="3"/>
  <c r="C18" i="3"/>
  <c r="C14" i="3"/>
  <c r="H17" i="3"/>
  <c r="H16" i="3" s="1"/>
  <c r="E17" i="3"/>
  <c r="G17" i="3"/>
  <c r="C17" i="3"/>
  <c r="M14" i="3" l="1"/>
  <c r="E16" i="3"/>
  <c r="E12" i="3" s="1"/>
  <c r="K25" i="3"/>
  <c r="I25" i="3"/>
  <c r="M25" i="3"/>
  <c r="C16" i="3"/>
  <c r="L13" i="3"/>
  <c r="L42" i="3" s="1"/>
  <c r="J17" i="3"/>
  <c r="J16" i="3" s="1"/>
  <c r="I17" i="3"/>
  <c r="K28" i="3"/>
  <c r="I28" i="3"/>
  <c r="M28" i="3"/>
  <c r="K18" i="3"/>
  <c r="I18" i="3"/>
  <c r="M18" i="3"/>
  <c r="K26" i="3"/>
  <c r="I26" i="3"/>
  <c r="M26" i="3"/>
  <c r="G22" i="3"/>
  <c r="G48" i="3" s="1"/>
  <c r="G13" i="3"/>
  <c r="G42" i="3" s="1"/>
  <c r="G16" i="3"/>
  <c r="C28" i="3"/>
  <c r="C13" i="3"/>
  <c r="C42" i="3" s="1"/>
  <c r="J9" i="3"/>
  <c r="J45" i="3" s="1"/>
  <c r="E9" i="3"/>
  <c r="E45" i="3" s="1"/>
  <c r="I48" i="3" l="1"/>
  <c r="M48" i="3"/>
  <c r="M42" i="3"/>
  <c r="C12" i="3"/>
  <c r="K17" i="3"/>
  <c r="H9" i="3"/>
  <c r="H45" i="3" s="1"/>
  <c r="K16" i="3"/>
  <c r="I16" i="3"/>
  <c r="M13" i="3"/>
  <c r="I22" i="3"/>
  <c r="M22" i="3"/>
  <c r="G12" i="3"/>
  <c r="E10" i="3"/>
  <c r="E46" i="3" s="1"/>
  <c r="C10" i="3"/>
  <c r="C46" i="3" s="1"/>
  <c r="G10" i="3" l="1"/>
  <c r="G46" i="3" s="1"/>
  <c r="G9" i="3"/>
  <c r="G45" i="3" s="1"/>
  <c r="I45" i="3" s="1"/>
  <c r="H10" i="3"/>
  <c r="H46" i="3" s="1"/>
  <c r="J10" i="3"/>
  <c r="J46" i="3" s="1"/>
  <c r="L9" i="3"/>
  <c r="L45" i="3" s="1"/>
  <c r="L10" i="3"/>
  <c r="L46" i="3" s="1"/>
  <c r="L7" i="3"/>
  <c r="L43" i="3" s="1"/>
  <c r="J7" i="3"/>
  <c r="J43" i="3" s="1"/>
  <c r="E7" i="3"/>
  <c r="E43" i="3" s="1"/>
  <c r="C9" i="3"/>
  <c r="C45" i="3" s="1"/>
  <c r="C43" i="3"/>
  <c r="J8" i="3"/>
  <c r="J44" i="3" s="1"/>
  <c r="H8" i="3"/>
  <c r="H44" i="3" s="1"/>
  <c r="E8" i="3"/>
  <c r="E44" i="3" s="1"/>
  <c r="I9" i="3" l="1"/>
  <c r="M45" i="3"/>
  <c r="K46" i="3"/>
  <c r="K45" i="3"/>
  <c r="K9" i="3"/>
  <c r="M46" i="3"/>
  <c r="I46" i="3"/>
  <c r="I10" i="3"/>
  <c r="K10" i="3"/>
  <c r="M9" i="3"/>
  <c r="M10" i="3"/>
  <c r="L8" i="3"/>
  <c r="L44" i="3" s="1"/>
  <c r="G8" i="3"/>
  <c r="G44" i="3" s="1"/>
  <c r="I44" i="3" s="1"/>
  <c r="C8" i="3"/>
  <c r="C44" i="3" s="1"/>
  <c r="L5" i="3"/>
  <c r="J5" i="3"/>
  <c r="J41" i="3" s="1"/>
  <c r="H5" i="3"/>
  <c r="H41" i="3" s="1"/>
  <c r="E5" i="3"/>
  <c r="E41" i="3" s="1"/>
  <c r="G5" i="3" l="1"/>
  <c r="G41" i="3" s="1"/>
  <c r="I41" i="3" s="1"/>
  <c r="L41" i="3"/>
  <c r="M44" i="3"/>
  <c r="K44" i="3"/>
  <c r="K8" i="3"/>
  <c r="I8" i="3"/>
  <c r="M8" i="3"/>
  <c r="C5" i="3"/>
  <c r="C41" i="3" s="1"/>
  <c r="M41" i="3" l="1"/>
  <c r="K41" i="3"/>
  <c r="K5" i="3"/>
  <c r="I5" i="3"/>
  <c r="M5" i="3"/>
  <c r="L4" i="3" l="1"/>
  <c r="J4" i="3"/>
  <c r="H4" i="3"/>
  <c r="H40" i="3" s="1"/>
  <c r="E4" i="3"/>
  <c r="E40" i="3" s="1"/>
  <c r="E39" i="3" s="1"/>
  <c r="G4" i="3"/>
  <c r="G40" i="3" s="1"/>
  <c r="C4" i="3"/>
  <c r="C40" i="3" s="1"/>
  <c r="C39" i="3" s="1"/>
  <c r="I40" i="3" l="1"/>
  <c r="J3" i="3"/>
  <c r="J40" i="3"/>
  <c r="L3" i="3"/>
  <c r="O3" i="3" s="1"/>
  <c r="I4" i="3"/>
  <c r="K4" i="3"/>
  <c r="M4" i="3"/>
  <c r="K40" i="3" l="1"/>
  <c r="H14" i="3" l="1"/>
  <c r="J14" i="3"/>
  <c r="J22" i="3"/>
  <c r="J48" i="3" s="1"/>
  <c r="K48" i="3" s="1"/>
  <c r="C3" i="3"/>
  <c r="C36" i="3" s="1"/>
  <c r="H7" i="3" l="1"/>
  <c r="L17" i="3"/>
  <c r="J13" i="3"/>
  <c r="K14" i="3"/>
  <c r="H13" i="3"/>
  <c r="I14" i="3"/>
  <c r="K22" i="3"/>
  <c r="G7" i="3"/>
  <c r="G43" i="3" s="1"/>
  <c r="E3" i="3"/>
  <c r="M43" i="3" l="1"/>
  <c r="K43" i="3"/>
  <c r="G39" i="3"/>
  <c r="K13" i="3"/>
  <c r="H3" i="3"/>
  <c r="H43" i="3"/>
  <c r="I43" i="3" s="1"/>
  <c r="J12" i="3"/>
  <c r="H12" i="3"/>
  <c r="I12" i="3" s="1"/>
  <c r="I13" i="3"/>
  <c r="L16" i="3"/>
  <c r="L40" i="3" s="1"/>
  <c r="M17" i="3"/>
  <c r="K7" i="3"/>
  <c r="I7" i="3"/>
  <c r="M7" i="3"/>
  <c r="G3" i="3"/>
  <c r="E36" i="3"/>
  <c r="L39" i="3" l="1"/>
  <c r="M39" i="3" s="1"/>
  <c r="M40" i="3"/>
  <c r="K12" i="3"/>
  <c r="L12" i="3"/>
  <c r="M16" i="3"/>
  <c r="M3" i="3"/>
  <c r="I3" i="3"/>
  <c r="K3" i="3"/>
  <c r="G36" i="3"/>
  <c r="M12" i="3" l="1"/>
  <c r="L36" i="3"/>
  <c r="M36" i="3" s="1"/>
  <c r="K33" i="3" l="1"/>
  <c r="J42" i="3"/>
  <c r="J30" i="3"/>
  <c r="J39" i="3" l="1"/>
  <c r="K39" i="3" s="1"/>
  <c r="K42" i="3"/>
  <c r="J36" i="3"/>
  <c r="K36" i="3" s="1"/>
  <c r="K30" i="3"/>
  <c r="H33" i="3" l="1"/>
  <c r="H30" i="3" s="1"/>
  <c r="H36" i="3" s="1"/>
  <c r="I36" i="3" s="1"/>
  <c r="H42" i="3" l="1"/>
  <c r="H39" i="3" s="1"/>
  <c r="I39" i="3" s="1"/>
  <c r="I33" i="3"/>
  <c r="I30" i="3"/>
  <c r="I42" i="3" l="1"/>
  <c r="AO158" i="2" l="1"/>
  <c r="AO156" i="2" s="1"/>
  <c r="AK156" i="2"/>
  <c r="AO160" i="2" l="1"/>
  <c r="AO159" i="2" l="1"/>
  <c r="AO163" i="2"/>
  <c r="AO164" i="2"/>
  <c r="AO166" i="2"/>
  <c r="AK165" i="2"/>
  <c r="AK162" i="2" s="1"/>
  <c r="AK267" i="2" s="1"/>
  <c r="AO167" i="2"/>
  <c r="AO165" i="2" l="1"/>
  <c r="AO162" i="2" l="1"/>
  <c r="AO267" i="2" s="1"/>
  <c r="AO170" i="2"/>
  <c r="AO171" i="2"/>
  <c r="AO172" i="2"/>
  <c r="AK169" i="2"/>
  <c r="AK268" i="2" s="1"/>
  <c r="AO174" i="2"/>
  <c r="AO180" i="2"/>
  <c r="AK179" i="2"/>
  <c r="AO181" i="2"/>
  <c r="AO169" i="2" l="1"/>
  <c r="AO179" i="2"/>
  <c r="AO182" i="2"/>
  <c r="AO185" i="2" l="1"/>
  <c r="AK190" i="2"/>
  <c r="AO192" i="2"/>
  <c r="AO190" i="2" l="1"/>
  <c r="AO193" i="2"/>
  <c r="AK187" i="2"/>
  <c r="AO194" i="2"/>
  <c r="AO187" i="2" l="1"/>
  <c r="AK196" i="2"/>
  <c r="AO198" i="2"/>
  <c r="AO199" i="2"/>
  <c r="AO200" i="2"/>
  <c r="AO202" i="2"/>
  <c r="AK201" i="2"/>
  <c r="AO196" i="2" l="1"/>
  <c r="AK195" i="2"/>
  <c r="AK186" i="2" s="1"/>
  <c r="AO203" i="2"/>
  <c r="AO201" i="2" l="1"/>
  <c r="AO195" i="2" l="1"/>
  <c r="AO207" i="2"/>
  <c r="AO208" i="2"/>
  <c r="AO209" i="2"/>
  <c r="AO210" i="2"/>
  <c r="AK212" i="2"/>
  <c r="AO213" i="2"/>
  <c r="AO216" i="2"/>
  <c r="AO217" i="2"/>
  <c r="AO218" i="2"/>
  <c r="AO220" i="2"/>
  <c r="AK219" i="2"/>
  <c r="AK215" i="2" s="1"/>
  <c r="AO221" i="2"/>
  <c r="AO215" i="2" l="1"/>
  <c r="AO186" i="2"/>
  <c r="AO212" i="2"/>
  <c r="AO219" i="2"/>
  <c r="AO224" i="2"/>
  <c r="AO225" i="2"/>
  <c r="AK223" i="2"/>
  <c r="AK222" i="2" s="1"/>
  <c r="AO223" i="2"/>
  <c r="AO226" i="2"/>
  <c r="AO227" i="2"/>
  <c r="AO229" i="2"/>
  <c r="AO230" i="2"/>
  <c r="AK228" i="2"/>
  <c r="AO231" i="2"/>
  <c r="AO228" i="2"/>
  <c r="AO233" i="2"/>
  <c r="AK232" i="2"/>
  <c r="AO234" i="2"/>
  <c r="AO239" i="2"/>
  <c r="AO240" i="2"/>
  <c r="AK238" i="2"/>
  <c r="AO241" i="2"/>
  <c r="AO232" i="2" l="1"/>
  <c r="AK214" i="2"/>
  <c r="AO222" i="2"/>
  <c r="AO238" i="2"/>
  <c r="AK236" i="2"/>
  <c r="AO242" i="2"/>
  <c r="AO214" i="2" l="1"/>
  <c r="AO236" i="2"/>
  <c r="AK245" i="2"/>
  <c r="AK266" i="2" s="1"/>
  <c r="AO247" i="2"/>
  <c r="AO245" i="2" l="1"/>
  <c r="AO266" i="2" s="1"/>
  <c r="AO248" i="2"/>
  <c r="AO249" i="2"/>
  <c r="AK244" i="2"/>
  <c r="AK235" i="2" s="1"/>
  <c r="AO250" i="2"/>
  <c r="AO244" i="2" l="1"/>
  <c r="AK252" i="2"/>
  <c r="AK251" i="2" s="1"/>
  <c r="AO254" i="2"/>
  <c r="AO252" i="2" l="1"/>
  <c r="AO235" i="2"/>
  <c r="AO251" i="2" l="1"/>
  <c r="AO259" i="2"/>
  <c r="AU259" i="2"/>
  <c r="AO262" i="2"/>
  <c r="AU262" i="2"/>
  <c r="AO206" i="2"/>
  <c r="AO175" i="2" l="1"/>
  <c r="AO268" i="2" s="1"/>
  <c r="AO177" i="2"/>
  <c r="AK168" i="2"/>
  <c r="AO168" i="2" l="1"/>
  <c r="AO211" i="2"/>
  <c r="AO270" i="2" s="1"/>
  <c r="AK211" i="2"/>
  <c r="AK270" i="2" s="1"/>
  <c r="AK205" i="2" l="1"/>
  <c r="AK204" i="2" s="1"/>
  <c r="AK269" i="2" s="1"/>
  <c r="AO205" i="2"/>
  <c r="AO261" i="2"/>
  <c r="AK261" i="2"/>
  <c r="AK154" i="2" l="1"/>
  <c r="AK11" i="2" s="1"/>
  <c r="AO204" i="2"/>
  <c r="AO269" i="2" s="1"/>
  <c r="AU261" i="2"/>
  <c r="AU154" i="2" s="1"/>
  <c r="AO154" i="2" l="1"/>
  <c r="AO11" i="2" s="1"/>
  <c r="AU11" i="2"/>
  <c r="AU7" i="2" s="1"/>
  <c r="AU152" i="2"/>
  <c r="AU15" i="2" s="1"/>
  <c r="AO260" i="2"/>
  <c r="AK260" i="2"/>
  <c r="AU260" i="2" l="1"/>
  <c r="AO258" i="2"/>
  <c r="AK258" i="2"/>
  <c r="AO257" i="2" l="1"/>
  <c r="AK257" i="2"/>
  <c r="AO184" i="2"/>
  <c r="AK183" i="2"/>
  <c r="AK178" i="2" s="1"/>
  <c r="AK271" i="2" s="1"/>
  <c r="AK155" i="2" l="1"/>
  <c r="AK152" i="2" s="1"/>
  <c r="AK15" i="2" s="1"/>
  <c r="AK272" i="2"/>
  <c r="AO183" i="2"/>
  <c r="AK153" i="2" l="1"/>
  <c r="AK10" i="2" s="1"/>
  <c r="AK7" i="2" s="1"/>
  <c r="AO178" i="2"/>
  <c r="AO155" i="2" l="1"/>
  <c r="AO153" i="2" s="1"/>
  <c r="AO152" i="2" s="1"/>
  <c r="AO15" i="2" s="1"/>
  <c r="AO271" i="2"/>
  <c r="AO272" i="2" s="1"/>
  <c r="AO10" i="2" l="1"/>
  <c r="AO7" i="2" s="1"/>
  <c r="U50" i="7" l="1"/>
  <c r="U19" i="7" s="1"/>
  <c r="U47" i="7" l="1"/>
  <c r="U15" i="7" s="1"/>
  <c r="U23" i="7" s="1"/>
  <c r="Y11" i="2"/>
  <c r="Y154" i="2"/>
  <c r="Y152" i="2"/>
  <c r="X152" i="2"/>
  <c r="X15" i="2"/>
  <c r="Y15" i="2"/>
  <c r="X7" i="2"/>
  <c r="Y7" i="2"/>
  <c r="Y246" i="2"/>
  <c r="Y245" i="2"/>
  <c r="Y244" i="2"/>
  <c r="Y235" i="2"/>
  <c r="X246" i="2"/>
  <c r="X245" i="2"/>
  <c r="X244" i="2"/>
  <c r="X235" i="2"/>
  <c r="X154" i="2"/>
  <c r="X11" i="2"/>
</calcChain>
</file>

<file path=xl/comments1.xml><?xml version="1.0" encoding="utf-8"?>
<comments xmlns="http://schemas.openxmlformats.org/spreadsheetml/2006/main">
  <authors>
    <author>es-pelse</author>
  </authors>
  <commentList>
    <comment ref="F127" authorId="0">
      <text>
        <r>
          <rPr>
            <b/>
            <sz val="14"/>
            <color indexed="81"/>
            <rFont val="Times New Roman"/>
            <family val="1"/>
            <charset val="186"/>
          </rPr>
          <t>es-pelse:</t>
        </r>
        <r>
          <rPr>
            <sz val="14"/>
            <color indexed="81"/>
            <rFont val="Times New Roman"/>
            <family val="1"/>
            <charset val="186"/>
          </rPr>
          <t xml:space="preserve">
2.3.2.4.aktivitāte pārnesta uz 2.1.prioriāti ar MK 13.01.2009. rīkojumu Nr.11</t>
        </r>
      </text>
    </comment>
  </commentList>
</comments>
</file>

<file path=xl/comments2.xml><?xml version="1.0" encoding="utf-8"?>
<comments xmlns="http://schemas.openxmlformats.org/spreadsheetml/2006/main">
  <authors>
    <author>Signe Albiņa</author>
    <author>vdadzite</author>
    <author>Inga</author>
  </authors>
  <commentList>
    <comment ref="J13" authorId="0">
      <text>
        <r>
          <rPr>
            <b/>
            <sz val="8"/>
            <color indexed="81"/>
            <rFont val="Tahoma"/>
            <family val="2"/>
            <charset val="186"/>
          </rPr>
          <t>Signe Albiņa:</t>
        </r>
        <r>
          <rPr>
            <sz val="8"/>
            <color indexed="81"/>
            <rFont val="Tahoma"/>
            <family val="2"/>
            <charset val="186"/>
          </rPr>
          <t xml:space="preserve">
S:\IEVIEŠANAS UZRAUDZĪBA\Mērķa profils\virssaistības\virssaistibu plans pret izpildi_31.07.2013..xlsx 11.kolonna</t>
        </r>
      </text>
    </comment>
    <comment ref="F24" authorId="0">
      <text>
        <r>
          <rPr>
            <b/>
            <sz val="8"/>
            <color indexed="81"/>
            <rFont val="Tahoma"/>
            <family val="2"/>
            <charset val="186"/>
          </rPr>
          <t>Signe Albiņa:</t>
        </r>
        <r>
          <rPr>
            <sz val="8"/>
            <color indexed="81"/>
            <rFont val="Tahoma"/>
            <family val="2"/>
            <charset val="186"/>
          </rPr>
          <t xml:space="preserve">
KF</t>
        </r>
      </text>
    </comment>
    <comment ref="I31" authorId="1">
      <text>
        <r>
          <rPr>
            <b/>
            <sz val="9"/>
            <color indexed="81"/>
            <rFont val="Tahoma"/>
            <family val="2"/>
            <charset val="186"/>
          </rPr>
          <t>vdadzite:</t>
        </r>
        <r>
          <rPr>
            <sz val="9"/>
            <color indexed="81"/>
            <rFont val="Tahoma"/>
            <family val="2"/>
            <charset val="186"/>
          </rPr>
          <t xml:space="preserve">
Ņemts vērā, ka pastāv iespēja, ka 7 FS vienošanos par projektu īstenošanu varētu noslēgt tikai š.g.oktobrī.</t>
        </r>
      </text>
    </comment>
    <comment ref="M37" authorId="0">
      <text>
        <r>
          <rPr>
            <b/>
            <sz val="8"/>
            <color indexed="81"/>
            <rFont val="Tahoma"/>
            <family val="2"/>
            <charset val="186"/>
          </rPr>
          <t>Signe Albiņa: līgumu plānu neizpilde nepārsniedz 250 tūkst. latu</t>
        </r>
      </text>
    </comment>
    <comment ref="G48" authorId="2">
      <text>
        <r>
          <rPr>
            <b/>
            <sz val="9"/>
            <color indexed="81"/>
            <rFont val="Tahoma"/>
            <family val="2"/>
            <charset val="186"/>
          </rPr>
          <t>Inga:</t>
        </r>
        <r>
          <rPr>
            <sz val="9"/>
            <color indexed="81"/>
            <rFont val="Tahoma"/>
            <family val="2"/>
            <charset val="186"/>
          </rPr>
          <t xml:space="preserve">
Saskaņā ar MK 20.08.2013. protokollēmumu</t>
        </r>
      </text>
    </comment>
  </commentList>
</comments>
</file>

<file path=xl/sharedStrings.xml><?xml version="1.0" encoding="utf-8"?>
<sst xmlns="http://schemas.openxmlformats.org/spreadsheetml/2006/main" count="2058" uniqueCount="937">
  <si>
    <t>ESF</t>
  </si>
  <si>
    <t>-</t>
  </si>
  <si>
    <t>1.1.</t>
  </si>
  <si>
    <t>1.1.1.</t>
  </si>
  <si>
    <t>1.1.1.1.</t>
  </si>
  <si>
    <t>IZM</t>
  </si>
  <si>
    <t>1.1.1.3.</t>
  </si>
  <si>
    <t>1.1.2.</t>
  </si>
  <si>
    <t>1.1.2.1.</t>
  </si>
  <si>
    <t>1.1.2.2.</t>
  </si>
  <si>
    <t>1.1.2.2.1.</t>
  </si>
  <si>
    <t>1.1.2.2.2.</t>
  </si>
  <si>
    <t>1.2.</t>
  </si>
  <si>
    <t>1.2.1.</t>
  </si>
  <si>
    <t>1.2.1.1.</t>
  </si>
  <si>
    <t>1.2.1.2.</t>
  </si>
  <si>
    <t>1.2.2.</t>
  </si>
  <si>
    <t>1.2.2.1.</t>
  </si>
  <si>
    <t>1.2.2.1.1.</t>
  </si>
  <si>
    <t>1.2.2.1.2.</t>
  </si>
  <si>
    <t>1.2.2.1.3.</t>
  </si>
  <si>
    <t>1.2.2.1.5</t>
  </si>
  <si>
    <t>1.2.2.2.</t>
  </si>
  <si>
    <t>1.2.2.2.1.</t>
  </si>
  <si>
    <t>1.2.2.2.2.</t>
  </si>
  <si>
    <t>1.2.2.3.</t>
  </si>
  <si>
    <t>1.2.2.3.1.</t>
  </si>
  <si>
    <t>1.2.2.3.2.</t>
  </si>
  <si>
    <t>1.2.2.4.</t>
  </si>
  <si>
    <t>1.2.2.4.1.</t>
  </si>
  <si>
    <t>1.3.1.</t>
  </si>
  <si>
    <t>1.3.1.1.</t>
  </si>
  <si>
    <t>1.3.1.2.</t>
  </si>
  <si>
    <t>1.3.1.3.</t>
  </si>
  <si>
    <t>1.3.1.6.</t>
  </si>
  <si>
    <t>1.3.1.7.</t>
  </si>
  <si>
    <t>1.3.1.8.</t>
  </si>
  <si>
    <t>1.3.2.</t>
  </si>
  <si>
    <t>1.3.2.1.</t>
  </si>
  <si>
    <t>1.3.2.2.</t>
  </si>
  <si>
    <t>1.3.2.3.</t>
  </si>
  <si>
    <t>1.4.</t>
  </si>
  <si>
    <t>1.4.1.</t>
  </si>
  <si>
    <t>1.4.1.1.</t>
  </si>
  <si>
    <t>1.4.1.2.</t>
  </si>
  <si>
    <t>1.4.1.2.2.</t>
  </si>
  <si>
    <t>1.5.</t>
  </si>
  <si>
    <t>1.5.1.</t>
  </si>
  <si>
    <t>1.5.1.1.</t>
  </si>
  <si>
    <t>1.5.1.1.1.</t>
  </si>
  <si>
    <t>1.5.1.1.2.</t>
  </si>
  <si>
    <t>1.5.1.2.</t>
  </si>
  <si>
    <t>1.5.1.3.</t>
  </si>
  <si>
    <t>1.5.2.</t>
  </si>
  <si>
    <t>1.5.2.2.</t>
  </si>
  <si>
    <t>1.5.3.</t>
  </si>
  <si>
    <t>ERAF</t>
  </si>
  <si>
    <t>2.1.1.</t>
  </si>
  <si>
    <t>2.1.1.3.</t>
  </si>
  <si>
    <t>2.1.1.3.1.</t>
  </si>
  <si>
    <t>2.1.1.3.2.</t>
  </si>
  <si>
    <t>2.1.2.</t>
  </si>
  <si>
    <t>2.1.2.1.</t>
  </si>
  <si>
    <t>2.1.2.1.3.</t>
  </si>
  <si>
    <t>2.1.2.2.</t>
  </si>
  <si>
    <t>2.1.2.3.</t>
  </si>
  <si>
    <t>2.2.</t>
  </si>
  <si>
    <t>2.2.1.</t>
  </si>
  <si>
    <t>2.2.1.1.</t>
  </si>
  <si>
    <t>2.2.1.2.</t>
  </si>
  <si>
    <t>2.2.1.2.1.</t>
  </si>
  <si>
    <t>2.2.1.2.2.</t>
  </si>
  <si>
    <t>2.3.</t>
  </si>
  <si>
    <t>2.3.1.</t>
  </si>
  <si>
    <t>2.3.1.1.2.</t>
  </si>
  <si>
    <t>2.3.1.2.</t>
  </si>
  <si>
    <t>2.3.2.</t>
  </si>
  <si>
    <t>2.3.2.1.</t>
  </si>
  <si>
    <t>2.3.2.3.</t>
  </si>
  <si>
    <t>3.</t>
  </si>
  <si>
    <t>3.1.</t>
  </si>
  <si>
    <t>3.1.1.</t>
  </si>
  <si>
    <t>3.1.1.2.</t>
  </si>
  <si>
    <t>3.1.2.</t>
  </si>
  <si>
    <t>3.1.2.1.1.</t>
  </si>
  <si>
    <t>3.1.2.1.2.</t>
  </si>
  <si>
    <t>3.1.3.</t>
  </si>
  <si>
    <t>3.1.3.2.</t>
  </si>
  <si>
    <t>3.1.3.3.</t>
  </si>
  <si>
    <t>3.1.4.</t>
  </si>
  <si>
    <t>3.1.4.1.</t>
  </si>
  <si>
    <t>3.1.4.1.1.</t>
  </si>
  <si>
    <t>3.1.4.1.2.</t>
  </si>
  <si>
    <t>3.1.4.1.3.</t>
  </si>
  <si>
    <t>3.1.4.1.4.</t>
  </si>
  <si>
    <t>3.1.5.</t>
  </si>
  <si>
    <t>3.1.5.1.</t>
  </si>
  <si>
    <t>3.1.5.3.</t>
  </si>
  <si>
    <t>3.2.</t>
  </si>
  <si>
    <t>3.2.1.</t>
  </si>
  <si>
    <t>3.2.1.3.2.</t>
  </si>
  <si>
    <t>3.2.1.5.</t>
  </si>
  <si>
    <t>3.2.2.</t>
  </si>
  <si>
    <t>3.2.2.1.</t>
  </si>
  <si>
    <t>3.2.2.2.</t>
  </si>
  <si>
    <t>3.2.2.3.</t>
  </si>
  <si>
    <t>3.2.2.4.</t>
  </si>
  <si>
    <t>3.2.2.4.1.</t>
  </si>
  <si>
    <t>3.2.2.4.2.</t>
  </si>
  <si>
    <t>3.3.</t>
  </si>
  <si>
    <t>3.3.1.</t>
  </si>
  <si>
    <t>3.3.1.2.</t>
  </si>
  <si>
    <t>3.3.1.4.</t>
  </si>
  <si>
    <t>3.3.2.</t>
  </si>
  <si>
    <t>3.3.2.1.</t>
  </si>
  <si>
    <t>3.4.</t>
  </si>
  <si>
    <t>3.4.1.</t>
  </si>
  <si>
    <t>3.4.1.3.</t>
  </si>
  <si>
    <t>3.4.1.4.</t>
  </si>
  <si>
    <t>3.4.1.5.</t>
  </si>
  <si>
    <t>3.4.1.5.1.</t>
  </si>
  <si>
    <t>3.4.1.5.2.</t>
  </si>
  <si>
    <t>3.4.2.</t>
  </si>
  <si>
    <t>3.4.2.1.</t>
  </si>
  <si>
    <t>3.4.2.1.3.</t>
  </si>
  <si>
    <t>3.4.2.2.</t>
  </si>
  <si>
    <t>3.4.3.</t>
  </si>
  <si>
    <t>3.4.3.1.</t>
  </si>
  <si>
    <t>3.4.4.</t>
  </si>
  <si>
    <t>3.5.</t>
  </si>
  <si>
    <t>3.5.1.</t>
  </si>
  <si>
    <t>3.5.1.2.</t>
  </si>
  <si>
    <t>3.5.2.</t>
  </si>
  <si>
    <t>3.5.2.3.</t>
  </si>
  <si>
    <t>3.5.2.4.</t>
  </si>
  <si>
    <t>3.6.</t>
  </si>
  <si>
    <t>3.6.1.</t>
  </si>
  <si>
    <t>3.6.1.2.</t>
  </si>
  <si>
    <t xml:space="preserve"> -</t>
  </si>
  <si>
    <t>3.6.2.</t>
  </si>
  <si>
    <t>3.6.2.1.</t>
  </si>
  <si>
    <t xml:space="preserve"> - </t>
  </si>
  <si>
    <t>2.1.2.3.1.</t>
  </si>
  <si>
    <t>Apstiprinātie projekti 
(ES fondu fin.), LVL / Approved projects (EU funding), LVL</t>
  </si>
  <si>
    <t>Apstiprinātie projekti , % no ES fondu fin., % / Approved projects (EU funding), % of EU funding, %</t>
  </si>
  <si>
    <t>Noslēgtie līgumi (ES fondu fin.), 
LVL / Contracted 
(EU funding), 
LVL</t>
  </si>
  <si>
    <t>Noslēgtie līgumi , % no ES fondu fin., % / Contracted, % of EU funding, %</t>
  </si>
  <si>
    <t>Izmaksāts  finansējuma saņēmējam, % no ES fondu fin., % / Payments to final beneficiaries, % of EU funding, 
%</t>
  </si>
  <si>
    <t>ERAF/KF / ERDF/CF</t>
  </si>
  <si>
    <t>5a</t>
  </si>
  <si>
    <t>5b</t>
  </si>
  <si>
    <t>ES fonda finansējums atbilstoši EK apstiprinātajai DP, EUR</t>
  </si>
  <si>
    <t>ES fonda finansējums atbilstoši MK apstiprinātajam DPP, EUR</t>
  </si>
  <si>
    <t>ES fonda finansējums atbilstoši konceptuāli apst. MK p/l'iem, LVL2 / EU funding 2 , EUR</t>
  </si>
  <si>
    <t>3.3.1.6.</t>
  </si>
  <si>
    <t>EM</t>
  </si>
  <si>
    <t>LM</t>
  </si>
  <si>
    <t>FM</t>
  </si>
  <si>
    <t>Fonds/ Ministrija</t>
  </si>
  <si>
    <t>VK</t>
  </si>
  <si>
    <t>VesM</t>
  </si>
  <si>
    <t>EM 2DP</t>
  </si>
  <si>
    <t>EM 3DP</t>
  </si>
  <si>
    <t xml:space="preserve"> IZM</t>
  </si>
  <si>
    <t>IZM 2DP</t>
  </si>
  <si>
    <t>IZM 3DP</t>
  </si>
  <si>
    <t>FM 2DP</t>
  </si>
  <si>
    <t>FM 3DP</t>
  </si>
  <si>
    <t>SM</t>
  </si>
  <si>
    <t>VidM</t>
  </si>
  <si>
    <t>KM</t>
  </si>
  <si>
    <t>KF</t>
  </si>
  <si>
    <t>Kopā</t>
  </si>
  <si>
    <r>
      <t>ES fonda finansējums atbilstoši konceptuāli apst. MK p/l, LVL</t>
    </r>
    <r>
      <rPr>
        <b/>
        <vertAlign val="superscript"/>
        <sz val="10"/>
        <rFont val="Times New Roman"/>
        <family val="1"/>
        <charset val="204"/>
      </rPr>
      <t xml:space="preserve">2 / </t>
    </r>
    <r>
      <rPr>
        <b/>
        <sz val="10"/>
        <rFont val="Times New Roman"/>
        <family val="1"/>
        <charset val="204"/>
      </rPr>
      <t xml:space="preserve">EU funding according to decisions of Cabinet of Ministers </t>
    </r>
    <r>
      <rPr>
        <b/>
        <vertAlign val="superscript"/>
        <sz val="10"/>
        <rFont val="Times New Roman"/>
        <family val="1"/>
        <charset val="204"/>
      </rPr>
      <t xml:space="preserve">2 </t>
    </r>
    <r>
      <rPr>
        <b/>
        <sz val="10"/>
        <rFont val="Times New Roman"/>
        <family val="1"/>
        <charset val="204"/>
      </rPr>
      <t>, LVL</t>
    </r>
  </si>
  <si>
    <r>
      <t xml:space="preserve">ES fonda finansējums </t>
    </r>
    <r>
      <rPr>
        <b/>
        <sz val="10"/>
        <color rgb="FFFF0000"/>
        <rFont val="Times New Roman"/>
        <family val="1"/>
        <charset val="204"/>
      </rPr>
      <t>atbilstoši EK apstiprinātajai DP</t>
    </r>
    <r>
      <rPr>
        <b/>
        <sz val="10"/>
        <rFont val="Times New Roman"/>
        <family val="1"/>
        <charset val="204"/>
      </rPr>
      <t>, LVL</t>
    </r>
  </si>
  <si>
    <t>3.5.2.2.</t>
  </si>
  <si>
    <t>ES fonda finansējums atbilstoši konceptuāli apst. MK p/liem, LVL2 / EU funding 2 , EUR</t>
  </si>
  <si>
    <t>3.3.1.3.</t>
  </si>
  <si>
    <r>
      <t xml:space="preserve">Izmaksāts  finansējuma saņēmējam 
(ES fondu fin.), LVL </t>
    </r>
    <r>
      <rPr>
        <b/>
        <vertAlign val="superscript"/>
        <sz val="13"/>
        <rFont val="Times New Roman"/>
        <family val="1"/>
        <charset val="186"/>
      </rPr>
      <t xml:space="preserve">4 / </t>
    </r>
    <r>
      <rPr>
        <b/>
        <sz val="10"/>
        <rFont val="Times New Roman"/>
        <family val="1"/>
        <charset val="186"/>
      </rPr>
      <t xml:space="preserve">Payments to final beneficiaries 
(EU funding), 
LVL </t>
    </r>
    <r>
      <rPr>
        <b/>
        <vertAlign val="superscript"/>
        <sz val="10"/>
        <rFont val="Times New Roman"/>
        <family val="1"/>
        <charset val="186"/>
      </rPr>
      <t>4</t>
    </r>
  </si>
  <si>
    <r>
      <t xml:space="preserve">ES fonda finansējums </t>
    </r>
    <r>
      <rPr>
        <b/>
        <sz val="10"/>
        <color rgb="FFFF0000"/>
        <rFont val="Times New Roman"/>
        <family val="1"/>
        <charset val="204"/>
      </rPr>
      <t>atbilstoši MK apstiprinātajam DPP</t>
    </r>
    <r>
      <rPr>
        <b/>
        <sz val="10"/>
        <rFont val="Times New Roman"/>
        <family val="1"/>
        <charset val="204"/>
      </rPr>
      <t>, LVL</t>
    </r>
  </si>
  <si>
    <t>1.5.2.2.1.</t>
  </si>
  <si>
    <t>Ministrijas kopā</t>
  </si>
  <si>
    <t>2.1.</t>
  </si>
  <si>
    <t>2.3.1.1.</t>
  </si>
  <si>
    <t xml:space="preserve">2.3.1.1.1. </t>
  </si>
  <si>
    <t>3.5.1.2.2.</t>
  </si>
  <si>
    <t xml:space="preserve">1.1.2.1.1. </t>
  </si>
  <si>
    <t>RAPLM</t>
  </si>
  <si>
    <r>
      <t>VARAM (</t>
    </r>
    <r>
      <rPr>
        <b/>
        <sz val="11"/>
        <color rgb="FFFF0000"/>
        <rFont val="Calibri"/>
        <family val="2"/>
        <charset val="186"/>
        <scheme val="minor"/>
      </rPr>
      <t>VidM + RAPLM</t>
    </r>
    <r>
      <rPr>
        <b/>
        <sz val="11"/>
        <color theme="1"/>
        <rFont val="Calibri"/>
        <family val="2"/>
        <scheme val="minor"/>
      </rPr>
      <t>)</t>
    </r>
  </si>
  <si>
    <t>VARAM (VidM)</t>
  </si>
  <si>
    <t>VARAM (RAPLM)</t>
  </si>
  <si>
    <r>
      <t xml:space="preserve">Izmaksāts  finansējuma saņēmējam 
(starpposma/gala maksājumi), LVL </t>
    </r>
    <r>
      <rPr>
        <b/>
        <vertAlign val="superscript"/>
        <sz val="13"/>
        <rFont val="Times New Roman"/>
        <family val="1"/>
        <charset val="186"/>
      </rPr>
      <t xml:space="preserve"> / </t>
    </r>
    <r>
      <rPr>
        <b/>
        <sz val="13"/>
        <rFont val="Times New Roman"/>
        <family val="1"/>
        <charset val="186"/>
      </rPr>
      <t xml:space="preserve">Interim/final payments to final beneficiaries 
(EU funding), 
LVL </t>
    </r>
    <r>
      <rPr>
        <sz val="12"/>
        <color theme="1"/>
        <rFont val="Times New Roman"/>
        <family val="2"/>
        <charset val="186"/>
      </rPr>
      <t/>
    </r>
  </si>
  <si>
    <r>
      <t>Izmaksāts  finansējuma saņēmējam 
(nedeklarējamie avansa maks.), LVL</t>
    </r>
    <r>
      <rPr>
        <b/>
        <vertAlign val="superscript"/>
        <sz val="13"/>
        <rFont val="Times New Roman"/>
        <family val="1"/>
        <charset val="186"/>
      </rPr>
      <t xml:space="preserve"> / </t>
    </r>
    <r>
      <rPr>
        <b/>
        <sz val="13"/>
        <rFont val="Times New Roman"/>
        <family val="1"/>
        <charset val="186"/>
      </rPr>
      <t xml:space="preserve">Advance payments to final beneficiaries that can not be declared
(EU funding), 
LVL </t>
    </r>
    <r>
      <rPr>
        <sz val="12"/>
        <color theme="1"/>
        <rFont val="Times New Roman"/>
        <family val="2"/>
        <charset val="186"/>
      </rPr>
      <t/>
    </r>
  </si>
  <si>
    <r>
      <t>Izmaksāts  finansējuma saņēmējam 
(deklarējamie avansa maks.), LVL</t>
    </r>
    <r>
      <rPr>
        <b/>
        <vertAlign val="superscript"/>
        <sz val="13"/>
        <rFont val="Times New Roman"/>
        <family val="1"/>
        <charset val="186"/>
      </rPr>
      <t xml:space="preserve"> / </t>
    </r>
    <r>
      <rPr>
        <b/>
        <sz val="13"/>
        <rFont val="Times New Roman"/>
        <family val="1"/>
        <charset val="186"/>
      </rPr>
      <t xml:space="preserve">Advanced payments to final beneficiaries, that can be declared 
(EU funding), 
LVL </t>
    </r>
    <r>
      <rPr>
        <sz val="12"/>
        <color theme="1"/>
        <rFont val="Times New Roman"/>
        <family val="2"/>
        <charset val="186"/>
      </rPr>
      <t/>
    </r>
  </si>
  <si>
    <t>2.1.2.1.2.</t>
  </si>
  <si>
    <t>Dzēstie avansi / Discharged advance payments</t>
  </si>
  <si>
    <t>1.3.1.3.2.</t>
  </si>
  <si>
    <r>
      <t xml:space="preserve">ES fonda finansējums </t>
    </r>
    <r>
      <rPr>
        <b/>
        <sz val="13"/>
        <color rgb="FFFF0000"/>
        <rFont val="Times New Roman"/>
        <family val="1"/>
        <charset val="204"/>
      </rPr>
      <t>atbilstoši MK apstiprinātajam DPP</t>
    </r>
    <r>
      <rPr>
        <b/>
        <sz val="13"/>
        <rFont val="Times New Roman"/>
        <family val="1"/>
        <charset val="204"/>
      </rPr>
      <t xml:space="preserve">, LVL  </t>
    </r>
  </si>
  <si>
    <r>
      <t xml:space="preserve">ES fonda finansējums </t>
    </r>
    <r>
      <rPr>
        <b/>
        <sz val="13"/>
        <color rgb="FFFF0000"/>
        <rFont val="Times New Roman"/>
        <family val="1"/>
        <charset val="204"/>
      </rPr>
      <t>atbilstoši EK apstiprinātajai DP</t>
    </r>
    <r>
      <rPr>
        <b/>
        <sz val="13"/>
        <rFont val="Times New Roman"/>
        <family val="1"/>
        <charset val="204"/>
      </rPr>
      <t xml:space="preserve">, LVL   </t>
    </r>
  </si>
  <si>
    <t>2.2.1.4.1.</t>
  </si>
  <si>
    <t>2.2.1.4.2.</t>
  </si>
  <si>
    <t>Atgūtie maksājumi</t>
  </si>
  <si>
    <t>Reāli veiktie maksājumi FS (=kopā veiktie maksājumi - atgūtie maksājumi)</t>
  </si>
  <si>
    <t>3.8.1.</t>
  </si>
  <si>
    <t>3.7.1.</t>
  </si>
  <si>
    <t>2.4.1.</t>
  </si>
  <si>
    <t>1.6.1.</t>
  </si>
  <si>
    <t xml:space="preserve">1.1.2.1.2. </t>
  </si>
  <si>
    <t>3.2.2.1.1.</t>
  </si>
  <si>
    <t>3.1.5.2.</t>
  </si>
  <si>
    <t>3.5.2.1.2.</t>
  </si>
  <si>
    <t>3.1.5.3.1.</t>
  </si>
  <si>
    <t>3.1.5.3.2.</t>
  </si>
  <si>
    <t>3.4.3.3.</t>
  </si>
  <si>
    <t xml:space="preserve">1.3.1.3.1. </t>
  </si>
  <si>
    <t xml:space="preserve">1.3.1.1.5. </t>
  </si>
  <si>
    <t>3.4.4.1.</t>
  </si>
  <si>
    <t>2.1.2.1.1.</t>
  </si>
  <si>
    <t>2.1.2.2.4.</t>
  </si>
  <si>
    <t>3.5.2.1.</t>
  </si>
  <si>
    <t>1.3.1.1.1.</t>
  </si>
  <si>
    <t xml:space="preserve">1.3.1.1.6. </t>
  </si>
  <si>
    <t xml:space="preserve">1.4.1.2.1. </t>
  </si>
  <si>
    <t xml:space="preserve">2.1.1.2. </t>
  </si>
  <si>
    <t xml:space="preserve">2.2.1.4. </t>
  </si>
  <si>
    <t>3.4.2.1.2.</t>
  </si>
  <si>
    <t>3.3.1.1.</t>
  </si>
  <si>
    <t>3.5.2.1.1.</t>
  </si>
  <si>
    <t>1.2.1.2.2.</t>
  </si>
  <si>
    <t>3.2.1.1.</t>
  </si>
  <si>
    <t>3.3.1.5.</t>
  </si>
  <si>
    <t>3.5.1.1.</t>
  </si>
  <si>
    <t>1.5.2.1.*</t>
  </si>
  <si>
    <t>3.1.1.1.</t>
  </si>
  <si>
    <t>3.1.4.1.5.</t>
  </si>
  <si>
    <t>3.5.1.3.</t>
  </si>
  <si>
    <t>1.1.1.2.</t>
  </si>
  <si>
    <t xml:space="preserve">1.3. </t>
  </si>
  <si>
    <t>1.3.1.1.3.</t>
  </si>
  <si>
    <t>1.4.1.1.2.</t>
  </si>
  <si>
    <t>3.4.3.2.</t>
  </si>
  <si>
    <t>3.1.4.4.</t>
  </si>
  <si>
    <t xml:space="preserve">2.1.1.1. </t>
  </si>
  <si>
    <t xml:space="preserve">2.1.2.2.1. </t>
  </si>
  <si>
    <t>EK deklarējamie maksājumi finansējuma saņēmējiem / Payments to final beneficiaries that can be declared to EC</t>
  </si>
  <si>
    <t>3.4.4.2.</t>
  </si>
  <si>
    <t xml:space="preserve">1.2.2.4.2. </t>
  </si>
  <si>
    <t>3.1.3.3.2.</t>
  </si>
  <si>
    <t>3.5.1.2.1.</t>
  </si>
  <si>
    <t>3.1.4.2.</t>
  </si>
  <si>
    <t>1.2.1.1.1.</t>
  </si>
  <si>
    <t>1.3.1.1.4.</t>
  </si>
  <si>
    <t xml:space="preserve">2.1.2.2.3. </t>
  </si>
  <si>
    <t xml:space="preserve">2.2.1.3. </t>
  </si>
  <si>
    <t>3.2.2.1.2.</t>
  </si>
  <si>
    <t xml:space="preserve">1.4.1.2.4. </t>
  </si>
  <si>
    <t>1.5.1.3.2.</t>
  </si>
  <si>
    <t xml:space="preserve">1.5.1.3.1. </t>
  </si>
  <si>
    <t>1.4.1.1.1.</t>
  </si>
  <si>
    <t>1.3.1.9.</t>
  </si>
  <si>
    <t>1.2.1.2.3.</t>
  </si>
  <si>
    <t xml:space="preserve">1.2.1.1.3. </t>
  </si>
  <si>
    <t>3.1.4.3.</t>
  </si>
  <si>
    <t>3.1.5.1.2.</t>
  </si>
  <si>
    <t>3.1.3.3.1.</t>
  </si>
  <si>
    <t>uz/till 29.02.12.</t>
  </si>
  <si>
    <t>3.1.3.1.</t>
  </si>
  <si>
    <t>3.4.2.1.1.</t>
  </si>
  <si>
    <t>1.3.1.5.</t>
  </si>
  <si>
    <t xml:space="preserve">1.5.3.2. </t>
  </si>
  <si>
    <t>1.5.3.1.</t>
  </si>
  <si>
    <t>Prioritātes/Pasākuma/Aktivitātes numurs</t>
  </si>
  <si>
    <t xml:space="preserve">Prioritātes/Pasākuma/ Aktivitātes nosaukums </t>
  </si>
  <si>
    <t xml:space="preserve">Fonds </t>
  </si>
  <si>
    <t>Iesniegtie projekti (ES fondu fin), LVL</t>
  </si>
  <si>
    <t>Iesniegtie projekti (ES fondu fin), % no ES fondu fin.</t>
  </si>
  <si>
    <t>Noraidītie projekti (ES fondu fin.), LVL</t>
  </si>
  <si>
    <t>Noraidītie projekti (ES fondu fin.),  % no ES fondu fin.</t>
  </si>
  <si>
    <t xml:space="preserve">Apstiprinātie projekti 
(ES fondu fin.), LVL </t>
  </si>
  <si>
    <t xml:space="preserve">Noslēgtie līgumi (ES fondu fin.), 
LVL </t>
  </si>
  <si>
    <t>Lauztie/ pārtrauktie līgumi (ES fondu fin.), LVL</t>
  </si>
  <si>
    <t xml:space="preserve">Noslēgtie līgumi , % no ES fondu fin. </t>
  </si>
  <si>
    <t>Lauztie/ pārtrauktie līgumi (ES fondu fin.), % no ES fondu fin.</t>
  </si>
  <si>
    <r>
      <t xml:space="preserve">Izmaksāts  finansējuma saņēmējam 
(ES fondu fin.), LVL </t>
    </r>
    <r>
      <rPr>
        <b/>
        <vertAlign val="superscript"/>
        <sz val="13"/>
        <rFont val="Times New Roman"/>
        <family val="1"/>
        <charset val="186"/>
      </rPr>
      <t xml:space="preserve">4 </t>
    </r>
  </si>
  <si>
    <t>Izmaksāts  finansējuma saņēmējam, % no ES fondu fin.</t>
  </si>
  <si>
    <t>Apstiprinātie projekti , % no ES fondu fin.</t>
  </si>
  <si>
    <t>Neatbilstību kļūdas % pret noslēgtajiem līgumiem</t>
  </si>
  <si>
    <t>DPP noteiktā uzraudzības rādītāja plānotā izpilde, ņemot vērā uzņemtās saistības, % no DPP plāna līdz 2015.g.</t>
  </si>
  <si>
    <t>Vai nepieciešamas virssaistības - Jā / Nē</t>
  </si>
  <si>
    <t xml:space="preserve">1. </t>
  </si>
  <si>
    <t>1.2.1.1.4.</t>
  </si>
  <si>
    <t>1.2.1.2.1.</t>
  </si>
  <si>
    <t>1.3.1.4.</t>
  </si>
  <si>
    <t>1.5.2.2.2.</t>
  </si>
  <si>
    <t>1.5.2.2.3.</t>
  </si>
  <si>
    <t>1.6.</t>
  </si>
  <si>
    <t>1.6.1.1.</t>
  </si>
  <si>
    <t xml:space="preserve">2. </t>
  </si>
  <si>
    <t xml:space="preserve">2.1.2.2.2. </t>
  </si>
  <si>
    <t xml:space="preserve">2.1.2.4. </t>
  </si>
  <si>
    <t xml:space="preserve">2.3.2.2. </t>
  </si>
  <si>
    <t>2.4.</t>
  </si>
  <si>
    <t>2.4.1.1.</t>
  </si>
  <si>
    <t>3.1.5.1.1.</t>
  </si>
  <si>
    <t>3.2.1.2.</t>
  </si>
  <si>
    <t>3.2.1.3.</t>
  </si>
  <si>
    <t>3.2.1.3.1.</t>
  </si>
  <si>
    <t>3.2.1.4.</t>
  </si>
  <si>
    <t>3.4.1.1.</t>
  </si>
  <si>
    <t>3.5.1.2.3.</t>
  </si>
  <si>
    <t>3.5.1.4.</t>
  </si>
  <si>
    <t>3.6.1.1.</t>
  </si>
  <si>
    <t>3.7.</t>
  </si>
  <si>
    <t>3.7.1.1.</t>
  </si>
  <si>
    <t>3.8.</t>
  </si>
  <si>
    <t>3.8.1.1.</t>
  </si>
  <si>
    <t xml:space="preserve">Līdz 31.12.2011 ekonomiski aktīvo uzņēmumu, kuri apmācījuši darbiniekus ar ESF atbalstu, īpatsvars %- 0,35%  jeb 88% no plānotā uz 31.12.2013. </t>
  </si>
  <si>
    <t>Iznākuma rādītājs: jaunradītās darba vietas - 250 (2013.g.)</t>
  </si>
  <si>
    <t xml:space="preserve">Līdz 31.12.2011 apmācības uzņēmējdarbības un pašnodarbinātības uzsākšanai saņēmušas 1145 personas jeb 57% no periodā plānotā.
Izsniegti aizdevumi 538 personām.
Piešķirtā aizdevumu summa 6,16 milj. LVL. </t>
  </si>
  <si>
    <t>Līdz 31.12.2011 piesaistīti 3 augstas kvalifikācijas darbinieki jaunradītās darba vietās uzņēmumos, turklāt ņemot vērā, ka projekti ir pabeigti un tālākas atlases kārtas nav plānotas šis rādītājs nepalielināsies.</t>
  </si>
  <si>
    <t>Izveidoti 6 kompetences centri. (31.12.2011.)</t>
  </si>
  <si>
    <t>Pabeigti 4 projekti ar augstu pievienoto vērtību, 20 projekti tiek īstenoti (31.12.2011.)</t>
  </si>
  <si>
    <t>5 riska kapitāla finansējumu saņēmušie MVK; 21 uzņēmumi, kas saņēmuši atbalstu garantijas vai paaugstināta riska aizdevumus;  MVK ieguldītā riska kapitāla finansējuma apjoms ir 6 500 000 EUR
Jaunradītie komersanti augsto un vidējo tehnoloģiju nozarēs - 7
(31.12.2011)</t>
  </si>
  <si>
    <t>22 komersanti, kas saņēmuši īstermiņa eksporta garantijas; 155 uzņēmumi, kas saņēmuši atbalstu garantijas vai paaugstināta riska aizdevumus (31.12.2011)</t>
  </si>
  <si>
    <t>34 uzņēmumi, kas saņēmuši atbalstu garantijas vai paaugstināta riska aizdevumus (31.12..2011)</t>
  </si>
  <si>
    <t>Projektu īstenošanai izmanto Finansējuma saņēmēja pamatkapitālā sākotnēji 2.2.1.3.aktivitātes „Garantijas komersantu konkurētspējas uzlabošanai” īstenošanai piešķirto finansējumu 17 738 557 (septiņpadsmit miljoni septiņi simti trīsdesmit astoņi tūkstoši pieci simti piecdesmit septiņu) latu apmērā, t.sk., ERAF finansējumu 10 671 891 latu apmērā un valsts budžeta finansējumu 7 066 666 latu apmērā atbilstoši darbības programmas „Uzņēmējdarbība un inovācijas” papildinājumā (MK 05.07.2011. rīk. Nr.296 (LV.,6.jūlijs nr.103)) noteiktajam..</t>
  </si>
  <si>
    <t>566 uz ārējo tirgu apgūšanu vērsti atbalstītie projekti (31.12.2011)</t>
  </si>
  <si>
    <t xml:space="preserve">Atbalstīti 2 finansējuma saņēmēji (aģentūras) nozaru konkurētspējas stiprināšanai </t>
  </si>
  <si>
    <t>12116 motivācijas programmās iesaistītas personas</t>
  </si>
  <si>
    <t xml:space="preserve">421 ekonomiski aktīvie uzņēmumi, kas saņēmuši atbalstu biznesa inkubatoros; Izveidoti 10 biznesa inkubatori, klasteru; Attīstīto inkubatoru platība ir 25 520,57 m2 (31.12.2011)
</t>
  </si>
  <si>
    <t>Apgrozījuma pieaugums atbalstītajos uzņēmumos divus gadus pēc investīcijas saņemšanas – 94,97%; 76 atbalstu saņēmušie mikro un mazie komersanti ĪAT; 16 atbalstu saņēmušie vidējie komersanti ĪAT
(31.12.2011)</t>
  </si>
  <si>
    <r>
      <rPr>
        <b/>
        <sz val="12"/>
        <color indexed="8"/>
        <rFont val="Times New Roman"/>
        <family val="1"/>
        <charset val="186"/>
      </rPr>
      <t xml:space="preserve">Sasniedzamie rezultāti: </t>
    </r>
    <r>
      <rPr>
        <sz val="12"/>
        <color indexed="8"/>
        <rFont val="Times New Roman"/>
        <family val="1"/>
        <charset val="186"/>
      </rPr>
      <t xml:space="preserve">2011.gadā  izveidoti jauni, labiekārtoti veloceliņi 13,6km , 2013.gadā - 47 km. </t>
    </r>
    <r>
      <rPr>
        <b/>
        <sz val="12"/>
        <color indexed="8"/>
        <rFont val="Times New Roman"/>
        <family val="1"/>
        <charset val="186"/>
      </rPr>
      <t>Sasniegtie rezultāti:</t>
    </r>
    <r>
      <rPr>
        <sz val="12"/>
        <color indexed="8"/>
        <rFont val="Times New Roman"/>
        <family val="1"/>
        <charset val="186"/>
      </rPr>
      <t xml:space="preserve">Izveidoti jauni, labiekārtoti veloceliņi 13,6km, kas ir 100% no 2011. gadā plānojamās </t>
    </r>
    <r>
      <rPr>
        <i/>
        <sz val="12"/>
        <color indexed="8"/>
        <rFont val="Times New Roman"/>
        <family val="1"/>
        <charset val="186"/>
      </rPr>
      <t>sasniegtās</t>
    </r>
    <r>
      <rPr>
        <sz val="12"/>
        <color indexed="8"/>
        <rFont val="Times New Roman"/>
        <family val="1"/>
        <charset val="186"/>
      </rPr>
      <t xml:space="preserve"> vērtības un 27,8% no plānotās sasniedzamās vērtības 2013.gadā. Turpinās 7 projektu īstenošana.</t>
    </r>
  </si>
  <si>
    <r>
      <rPr>
        <b/>
        <sz val="12"/>
        <rFont val="Times New Roman"/>
        <family val="1"/>
        <charset val="186"/>
      </rPr>
      <t>Sasniedzamie rezultāti:</t>
    </r>
    <r>
      <rPr>
        <sz val="12"/>
        <rFont val="Times New Roman"/>
        <family val="1"/>
        <charset val="186"/>
      </rPr>
      <t xml:space="preserve"> Ieviesti energoefektivitātes pasākumi 2011.gadā 77 daudzdzīvokļu mājās, 2013.gadā - 477. </t>
    </r>
    <r>
      <rPr>
        <b/>
        <sz val="12"/>
        <rFont val="Times New Roman"/>
        <family val="1"/>
        <charset val="186"/>
      </rPr>
      <t xml:space="preserve">Sasniegtie rezultāti: </t>
    </r>
    <r>
      <rPr>
        <sz val="12"/>
        <rFont val="Times New Roman"/>
        <family val="1"/>
        <charset val="186"/>
      </rPr>
      <t xml:space="preserve">Ieviesti energoefektivitātes pasākumi 56 daudzdzīvokļu mājās, kas ir 72,7%  no 2011.gadā plānojamās sasniegtās vērtības un 46,7% no plānotās sasniedzamās vērtības 2013.gadā. Tturpinās 387 projektu īstenošana. Siltumenerģijas patēriņa samazinājums atbalstītajās daudzdzīvokļu mājās ir 47,68% </t>
    </r>
  </si>
  <si>
    <r>
      <rPr>
        <b/>
        <sz val="12"/>
        <color indexed="8"/>
        <rFont val="Times New Roman"/>
        <family val="1"/>
        <charset val="186"/>
      </rPr>
      <t>Sasniedzamie rezultāti:</t>
    </r>
    <r>
      <rPr>
        <sz val="12"/>
        <color indexed="8"/>
        <rFont val="Times New Roman"/>
        <family val="1"/>
        <charset val="186"/>
      </rPr>
      <t xml:space="preserve"> Izveidotas energoefektīvas sociālās mājas 2011.gadā 19 sociālajās mājās, 2013.gadā - 58. </t>
    </r>
    <r>
      <rPr>
        <b/>
        <sz val="12"/>
        <color indexed="8"/>
        <rFont val="Times New Roman"/>
        <family val="1"/>
        <charset val="186"/>
      </rPr>
      <t xml:space="preserve">Sasniegtie rezultāti: </t>
    </r>
    <r>
      <rPr>
        <sz val="12"/>
        <color indexed="8"/>
        <rFont val="Times New Roman"/>
        <family val="1"/>
        <charset val="186"/>
      </rPr>
      <t xml:space="preserve">2011.gadā izveidotas14 energoefektīvas sociālās mājas, kas ir 73,7%  no 2011. gadā plānojamās sasniegtās vērtības un 19,2% no plānotās sasniedzamās vērtības 2013.gadā. Turpinās 45 projektu īstenošana. Siltumenerģijas patēriņa samazinājums atbalstītajās sociālajās mājās (% no MWh gadā, pabeigtie projekti) ir 100,4% </t>
    </r>
  </si>
  <si>
    <t>Rādītāji nav sasniegti, jo 3.5.2.1.2. apakšaktivitātē notiek projektu atlase (no 01.12.2011. - 01.02.2012)</t>
  </si>
  <si>
    <t xml:space="preserve">Līdz 31.12.2012.  ESF atbalstu ir saņēmuši 552,95 atbilstoši pilna darba laika ekvivalentam nodarbinātie pētnieki jeb t.i., 55,29% no DPP plānotā uz 31.12.2013. (1000). Tas sastāda 6,13% no kopējā zinātnē un pētniecībā nodarbināto skaita jeb 61,3% no DPP plānotā uz 31.12.2013.). </t>
  </si>
  <si>
    <t xml:space="preserve">Līdz 31.12.2011. ESF atbalstu maģistrantūras studijām ir saņēmuši 1028 maģistrantūras studenti  jeb 41,12% no DPP plānotā uz 31.12.2013. (2500). </t>
  </si>
  <si>
    <t xml:space="preserve">Līdz 31.12.2011. ESF atbalstu doktorantūras studijām ir saņēmuši 1393 doktorantūras studenti jeb 87,06% no DPP plānotā uz 31.12.2013. (1600). 
ESF atbalstu studijām doktorantūrā saņēmuši 68% no kopējā doktorantūras studentu skaita, kas ir 85% no DPP plānotā uz 31.12.2013. </t>
  </si>
  <si>
    <t xml:space="preserve">09.05.2011. tika noslēgta vienošanās. Sasniedzamais rādītājs:Izvērtēto studiju programmu skaits augstākajā  izglītībā;                                                    mērķis 2013.gadā - 651. Projekta ietvaros līdz 31.12.2011. no 28 apstiprinātiem augstākās izglītības studiju virzieniem izvērtēti – 8, aptverot 177 studiju programmas, kas ir 27,18% no DPP plānotā. Sasniegtā rādītāja vērtība pārskata periodā norādīta ir 0, jo projekta progresa dokumentācija, kas iesniegta gada nogalē atrodas izskatīšanā.  </t>
  </si>
  <si>
    <t xml:space="preserve">Līdz 01.12.2010. noslēguta vienošanās. Sasniedzamais rādītājs: uzlaboto profesionālās izglītības programmu skaits:                          mērķis 2013.gadā - 55. Līdz 31.12.2011. ir izvērtētas 5 (ķīmiskā rūpniecība, enerģētika, tekstilizstrādājumi, tūrisms un skaistumkopšana) no 12 definētajām tautsaimniecības nozarēm un balstoties uz izvērtējuma rezultātiem tiks izstrādāti vai aktualizēti profesiju standarti, izstrādātas profesionālās izglītības programmas, izmantojot moduļu pieeju, un izstrādātas profesionālās kvalifikācijas eksāmenu satura bāzes, kā arī uzsākta ārpus formālās izglītības iegūto zināšanu, prasmju un kompetenču novērtēšana. </t>
  </si>
  <si>
    <t>Līdz 31.12.2011. 4239 profesionālās izglītības pedagogi ir pilnveidojuši savu kompetenci un kvalifikāciju jeb 80,80% no DPP plānotā uz 31.12.2013. (5 000). 
Analizējot profesionālās un vispārējās izglītības pedagogu apmācību aktivitāšu (1.2.1.1.2. un 1.2.1.2.3.) rezultātus secināms, ka līdz 31.12.2011. ar ESF atbalstu kvalifikāciju paaugstinājuši 23% no vispārējās un profesionālās izglītības pedagogu kopskaita valstī.</t>
  </si>
  <si>
    <t>Līdz 31.12.2011. viengadīgajās un pusotrgadīgajās grupās profesionālo kvalifikāciju ieguva 682 izglītojamie jeb apmēram 79% no mācības uzsākušajiem 2010. gada oktobrī, kas ir 34,1% no DPP noteiktā uz 2013.gadu. Sasniegtā iznākuma rādītāja vērtība pārskata periodā uzrādīta 0, jo projekta progresa dokumentācija, kas iesniegta 2012.gada janvārī atrodas izskatīšanā. 
Sasniedzamais rezultāta rādītājs 1.2.1.1.1. un 1.2.1.1.3.aktivitātēs: izglītojamo, kas apgūst uzlabotās profesionālās izglītības programmas, īpatsvars pret izglītojamo skaitu profesionālajā izglītībā mērķis  2013.gadā – 50 %. Rādītāju progress būs vērojams nākamajos pārskata periodos.</t>
  </si>
  <si>
    <t>Līdz 31.12.2011. mēķstipendijas ir piešķirtas 48 960 sākotnējā profesionālajā izglītībā studējošiem jauniešiem jeb 122,40% no DPP plānotā uz 31.12.2013. (40 000) un 78,8% no kopējā profesionālajā izglītībā izglītojamo skaita valstī ESF projekta īstenošanas laikā.</t>
  </si>
  <si>
    <t xml:space="preserve">Līdz 31.12.2011. ir uzlabotas 9 vispārējās izglītības programmas jeb 25% no DPP plānotā uz 31.12.2013. (4); uzlabotās vispārējās izglītības programmās tiek apmācītas 10,31% no kopējā izglītojamo skaita 7-12 klasē valstī.
Analizējot 1.2.1.1.1. un 1.2.1.2.1.aktivitāšu rezultātus, secināms, ka vispārējās izglītības un profesionālās izglītības iestāžu, kuras īsteno uzlabotās programmas īpatsvars pret kopējo vispārējās un profesionālās izglītības iestāžu skaituir sasniedzis 23%. </t>
  </si>
  <si>
    <t>Līdz 31.12.2011. mērķstipendijas ir saņēmuši 4262 pedagogi jeb 106,55% no DPP plānotā uz 31.12.2013. (4000).</t>
  </si>
  <si>
    <t xml:space="preserve">Līdz 31.12.2011. savu kompetenci paaugstinājuši un prasmes atjaunojuši 2437 pedagogi jeb 12,19% no DPP plānotā uz 31.12.2013. (20 000). </t>
  </si>
  <si>
    <t xml:space="preserve">Līdz 31.12.2011. apakšaktivitātē īstenotā projekta aktivitātēs kursus pabeiguši 28 226 pedagogi jeb 100,81% no DPP plānotā uz 31.12.2013. (28000).            </t>
  </si>
  <si>
    <t>11.05.2011.noslēgts līgums par atbalstu izglītības pētījumiem.  Iznākuma rādītāja "Starptautisko pētījumu virzienu izglītības politikas izstrādei, rīcībpolitikas ieviešanas un ietekmes izvērtēšanas skaits" mērķi (2013.gadā - 3) plānots sasniegt nākamajos pārskata periodos.</t>
  </si>
  <si>
    <t>Iznākuma rādītāju  "Izveidoti pašvaldību iekļaujošās izglītības atbalsta centri" (mērķis 2013.gaedam - 8 ) plānots sasniegt nākamajos pārskata periodos.</t>
  </si>
  <si>
    <t xml:space="preserve">Līdz 31.12.2011. 6864 sociālās atstumtības riska grupu izglītojamie ir saņēmuši ESF atbalstu mācībām jeb 68,64% no DPP noteiktā uz 31.12.2013. (10 000). </t>
  </si>
  <si>
    <t>Līdz 31.12.2011. apakšaktivitātē tiek īstenoti 20 projekti (iznākuma rādītājs), kuru ietvaros pārskata periodā ir iesniegti 76 starptautiskās sadarbības projektu pieteikumi, tai skaitā apstiprināti - 17.</t>
  </si>
  <si>
    <t xml:space="preserve">Sasniedzamie rādītāji: 35 modernizētu zinātnisko institūciju skaits 2013.gadā. Rādītājs netiks sasniegts atbilstoši DPP plānotajam, ņemot vērā apakšaktivitātes ieviešanas veida pārskatīšanu un sadalīšanu divās kārtās, kā arī Zinātnisko institūciju apvienošanu 9 Valsts nozīmes pētniecības centros, tādējādi nodrošinot resursu koncentrāciju un infrastruktūras nesadrumstalotību. Apakšaktivitātes ietvaros kopumā tiks modernizētas 27 zinātniskās institūcijas. Rādītāja progress būs vērojams projektu noslēgumā. </t>
  </si>
  <si>
    <t xml:space="preserve">Sasniedzamie rādītāji: 1 Latvijas akadēmiskais pamattīkls zinātniskās darbības un pētniecības nodrošināšanai 2013.gadā. Rādītāja progress būs vērojams projekta īstenošanas beigās – 2014.gadā.    </t>
  </si>
  <si>
    <t xml:space="preserve">Sasniedzamie rādītāji: profesionālās izglītības iestāžu skaits, kurās modernizēta infrastruktūra un mācību aprīkojums - 53 līdz plānošanas perioda beigām, ko nebūs iespējams pilnā apjomā sasniegt profesionālo izglītības iestāžu reformas dēļ. </t>
  </si>
  <si>
    <t>Līdz 31.12.2011. uzlabota infrastruktūra 6 augstākās izglītības iestādēs, sasniedzot 19,35% no plānošanas periodā plānotās vētības; augstākajā izglītībā tautsaimniecības attīstībai prioritārajās jomās studējošo īpatsvars, kam nodrošināta moderna un mūsdienu prasībām atbilstoša izglītības infrastruktūra un mācību aprīkojums (% no kopējā studējošo skaita attiecīgajās studiju programmās) - 14,61%, sasniedzot 16,23% no plānošanas periodā plānotās vētības.</t>
  </si>
  <si>
    <t>Aktivitātes īstenošana atlikta.</t>
  </si>
  <si>
    <t>Līdz 31.12.2011. aktivitātes ietvaros nav pabeigto projektu. Aktivitātes ietvaros tiek īstenoti 4 projekti, jo Izglītības iestāžu reformas rezultātā nebūs iespējams sasniegt plānšanas periodā plānoto vērtību - 35 renovētas vispārējās izglītības iestādes.</t>
  </si>
  <si>
    <t>Izglītības iestādēs iegādātas 21 IKT vienība (DPP mērķis 15 883 IKT vienības). 2011.gada 3.ceturksnī noslēdzās centralizētais iepirkums par IKT vienību iegādi un ar 141 skolu tika noslēgts līgums par IKT vienību piegādi, 5 skolām piegāde jau notikusi un 236 skolas veikušas pasūtījumus daļā iekārtu.</t>
  </si>
  <si>
    <t>Nepieciešamo virssaistību %</t>
  </si>
  <si>
    <t>2010.gada 2.pusgadā apakšaktivitātes ietvaros uzsākta divu invaliditātes ekspertīzes institūciju infrastruktūru pilnveidošana Rīgas un Latgales plānošanas reģionos, kuru izpilde plānota 2013.gada 4.ceturksnī</t>
  </si>
  <si>
    <t>Projekta īstenošana apakšaktivitātes ietvaros ir noslēgusies  30.09.2010. Rekonstruētas trīs (3) Sociālās integrācijas valsts aģentūras struktūrvienības, kas nodrošina klientu apmācību un profesionālās kvalifikācijas iegūšanu, sociālās rehabilitācijas pakalpojumu sniegšanu un klientu nodrošināšanu ar dzīvesvietu pakalpojumu sniegšanas laikā. 3DPP noteiktais iznākuma rādītājs ir sasniegts 100 % apmērā.</t>
  </si>
  <si>
    <t xml:space="preserve">Apakšaktivitātes projekta ieviešana noslēgusies 29.12.2011. Veikta divu sociālās rehabilitācijas centru personām ar dzirdes invaliditāti (Rīgā un Liepājā) infrastruktūras izveidošana sociālās rehabilitācijas pakalpojumu saņemšanas iespēju paplašināšanai, pilnveidojot  valsts atbalsta sistēmu - sociālo pakalpojumu daudzveidību, pieejamību un kvalitāti. </t>
  </si>
  <si>
    <t>3DPP noteiktais rādītājs netiks sasniegts, jo saskaņā ar MK 07.04.09. sēdes protokola Nr.23 47.§ nolemts LM atlikt apakšaktivitātes  īstenošanu, izņemot finansējumu no apakšaktivitātes</t>
  </si>
  <si>
    <t>Apakšaktivitātes ietvaros līdz 31.12.2011. ir noslēgusies trīs projektu īstenošana:
- līdz 31.12.2009. apakšaktivitātes 1.kārtas ietvaros izveidota viena ilgstošas sociālās aprūpes institūcijas infrastruktūra Kurzemes reģionā sociālās rehabilitācijas pakalpojumu sniegšanai personām ar garīga rakstura traucējumiem;
-apakšaktivitātes 2. kārtas ietvaros līdz 31.12.2011. rekonstruēta un aprīkota valsts sociālās aprūpes centra "Vidzeme" filiāles "Valka" infrastruktūra un valsts sociālās aprūpes centra „Latgale” filiāles „Litene” infrastruktūra.
Līdz 31.12.2012. tiks turpināta trīs projektu īstenošana, kuru ietvaros rekonstruēta un aprīkota trīs teritoriālo struktūrvienību piecu filiāļu infrastruktūra Rīgas, Kurzemes un Zemgales plānošanas reģionos.  Tiks nodrošināta sociālās aprūpes pakalpojumu pieejamība personām ar garīga rakstura traucējumiem, uzlabojot ilgstošas sociālās aprūpes un sociālās rehabilitācijas pakalpojumu kvalitāti, vides pieejamību personām ar kustību traucējumiem un veicināta kompleksa valsts sociālās aprūpes sistēmas pilnveidošana.</t>
  </si>
  <si>
    <t>Aktivitātes ietvaros pabeigta divu plānoto projektu īstenošana:
- līdz 31.01.2010. VDI projekta ietvaros izveidota moderna uz klientiem vērsta VDI infrastuktūra, kas nodrošina kvalitatīvu un operatīvu pakalpojumu un konsultāciju sniegšanu, tai skaitā izveidota informācijas par darba tirgus institūciju sniegtajiem pakalpojumiem pieejas vieta, VDI iekšējais informatīvais centrs, kas sevī ietver mācību klasi un specializēto bibliotēku
- līdz 24.06.2011. pabeigta NVA projekta īstenošana, kura ietvaros izveidota moderna uz klientiem orientēta NVA struktūrvienību infrastruktūra (Dobele, Bauska, Daugavpils, Jēkabpils, Rīga, NVA pārvaldes 6.stāvs), nodrošinot kvalitatīvu un operatīvu pakalpojumu sniegšanu klientiem un sadarbības partneriem. Projekta ietvaros līdz 31.03.2010. izveidotas 32 pašapkalpošanās stacijas NVA filiālēs.</t>
  </si>
  <si>
    <t xml:space="preserve">Sasniedzamie rezultāti:
Piesaistīto jauno speciālistu skaits plānošanas reģionos, pilsētās un novados  2013.gadā - 240
Plānošanas reģionu un pašvaldību skaits, kuros nodrošināta administratīvās kapacitātes stiprināšana (%) 2013.gadā - 100
Sasniegtie rezultāti:
2011.gada beigās ar  243 speciālistiem faktiski uzsāktas darba attiecības, rādītāju sasniegšana  tiks vērtēta  projektu noslēgumā 2013. gadā.
Ekonomiskā ietekme:
Noteiktu speciālistu trūkums būtiski ietekmē vietējo pašvaldību un plānošanas reģionu administratīvo kapacitāti, veidojot nepilnīgu uzdevumu izpildes kvalitāti. Kvalificētu speciālistu piesaiste vietējā un reģionālā līmenī sekmēs bezdarba mazināšanos darbinieku ar augstāko izglītību vidū.
</t>
  </si>
  <si>
    <t xml:space="preserve">Sasniedzamie rezultāti:
Atbalstīto plānošanas reģionu un novadu pašvaldību skaits, kuros nodrošināta attīstības plānošanas kapacitātes stiprināšana (%) 2013.gadā - 57
Izstrādātie / aktualizētie attīstības plānošanas dokumenti plānošanas reģionos un vietējās pašvaldībās (skaits) 2013.gadā - 110
Sasniegtie rezultāti:
Ir uzsākta aktivitātes īstenošana 72 projektos, rezultatīvie rādītāji 2013.gadā tiks sasniegti.
Ekonomiskā ietekme:
Ar ESF atbalstu tiek uzlabota izstrādāto vietējo un reģionālo attīstības plānošanas dokumentu kvalitāte un attīstības plānošanas dokumentu savstarpējā sasaiste (kā arī sasaiste nacionālajā līmenī definētajām valsts attīstības prioritātēm), sekmēta integrētā skatījuma uz teritoriju attīstību attīstība un iedzīvotāju, komersantu un nevalstisko organizāciju iesaiste savas teritorijas attīstības plānošanā
</t>
  </si>
  <si>
    <r>
      <rPr>
        <b/>
        <sz val="12"/>
        <rFont val="Times New Roman"/>
        <family val="1"/>
        <charset val="186"/>
      </rPr>
      <t xml:space="preserve">Sasniedzamie rezultāti:
</t>
    </r>
    <r>
      <rPr>
        <sz val="12"/>
        <rFont val="Times New Roman"/>
        <family val="1"/>
        <charset val="186"/>
      </rPr>
      <t>1)</t>
    </r>
    <r>
      <rPr>
        <b/>
        <sz val="12"/>
        <rFont val="Times New Roman"/>
        <family val="1"/>
        <charset val="186"/>
      </rPr>
      <t xml:space="preserve"> </t>
    </r>
    <r>
      <rPr>
        <sz val="12"/>
        <rFont val="Times New Roman"/>
        <family val="1"/>
        <charset val="186"/>
      </rPr>
      <t xml:space="preserve">Jaunuzcelto vai paplašināto pirmsskolas izglītības iestāžu skaits - 2010.gadā - 13, 2013.gadā - 14
2) Renovēto vai labiekārtoto pirmsskolas izglītību iestāžu skaits –  2010.gadā - 39, 2013.gadā - 48
</t>
    </r>
    <r>
      <rPr>
        <b/>
        <sz val="12"/>
        <rFont val="Times New Roman"/>
        <family val="1"/>
        <charset val="186"/>
      </rPr>
      <t xml:space="preserve">
Sasniegtie rezultāti:
</t>
    </r>
    <r>
      <rPr>
        <sz val="12"/>
        <rFont val="Times New Roman"/>
        <family val="1"/>
        <charset val="186"/>
      </rPr>
      <t>1) uz 2011.gada 31.decembri jaunuzceltas vai paplašinātas ir 13 pirmsskolas izglītības iestādes, kas liecina, ka sasniegti 68,4% no plānošanas periodā sasniedzamās vērtības. Līdz 2013.gadam plānots sasniegt 2013.gada plānoto vērtību. Turpinās 15 projektu īstenošana; 
2) renovētas vai labiekārtotas 32 izglītības iestādes, kas liecina, ka plānotais rādītājs ir pārsniegts par 325%, turpinās 15 projektu īstenošana.</t>
    </r>
    <r>
      <rPr>
        <b/>
        <sz val="12"/>
        <rFont val="Times New Roman"/>
        <family val="1"/>
        <charset val="186"/>
      </rPr>
      <t xml:space="preserve">
</t>
    </r>
    <r>
      <rPr>
        <sz val="12"/>
        <rFont val="Times New Roman"/>
        <family val="1"/>
        <charset val="186"/>
      </rPr>
      <t xml:space="preserve">
</t>
    </r>
    <r>
      <rPr>
        <b/>
        <sz val="12"/>
        <rFont val="Times New Roman"/>
        <family val="1"/>
        <charset val="186"/>
      </rPr>
      <t>Ekonomiskā ietekme:</t>
    </r>
    <r>
      <rPr>
        <sz val="12"/>
        <rFont val="Times New Roman"/>
        <family val="1"/>
        <charset val="186"/>
      </rPr>
      <t xml:space="preserve">
Lai sniegtu būtisku ieguldījumu darba un ģimenes dzīves saskaņošanā, nepieciešams sakārtot un modernizēt pirmsskolas iestāžu infrastruktūru un sekmēt alternatīvās bērnu un citu aprūpējamo personu pieskatīšanas iespējas.</t>
    </r>
  </si>
  <si>
    <r>
      <rPr>
        <b/>
        <sz val="12"/>
        <rFont val="Times New Roman"/>
        <family val="1"/>
        <charset val="186"/>
      </rPr>
      <t xml:space="preserve">Sasniedzamie rezultāti:
</t>
    </r>
    <r>
      <rPr>
        <sz val="12"/>
        <rFont val="Times New Roman"/>
        <family val="1"/>
        <charset val="186"/>
      </rPr>
      <t xml:space="preserve">Atbalstīto alternatīvās aprūpes centru skaits - Atbildīgās iestādes plānotais skaits 2011.gadā - 25; 2013.gadā - 13
Alternatīvās aprūpes centru pakalpojumu izmantojošo personu skaits - 2011.gadā -6050 personas
</t>
    </r>
    <r>
      <rPr>
        <b/>
        <sz val="12"/>
        <rFont val="Times New Roman"/>
        <family val="1"/>
        <charset val="186"/>
      </rPr>
      <t xml:space="preserve">
Sasniegtie rezultāti:
</t>
    </r>
    <r>
      <rPr>
        <sz val="12"/>
        <rFont val="Times New Roman"/>
        <family val="1"/>
        <charset val="186"/>
      </rPr>
      <t>Atbalstīti 24 alternatīvās aprūpes centri, kas liecina, ka 2011,gadā plānotais rā'ditājs sasniegts par 88%, bet 2011.gadā plānotais rādītājs  veido 169% no 2013.gada plānotās sasniedzamās vērtības. 2011.gadā apkalpotas 6037 personas, kas ir 99,8% no plānotā.</t>
    </r>
    <r>
      <rPr>
        <b/>
        <sz val="12"/>
        <rFont val="Times New Roman"/>
        <family val="1"/>
        <charset val="186"/>
      </rPr>
      <t xml:space="preserve">
</t>
    </r>
    <r>
      <rPr>
        <sz val="12"/>
        <rFont val="Times New Roman"/>
        <family val="1"/>
        <charset val="186"/>
      </rPr>
      <t xml:space="preserve">
</t>
    </r>
    <r>
      <rPr>
        <b/>
        <sz val="12"/>
        <rFont val="Times New Roman"/>
        <family val="1"/>
        <charset val="186"/>
      </rPr>
      <t>Ekonomiskā ietekme:</t>
    </r>
    <r>
      <rPr>
        <sz val="12"/>
        <rFont val="Times New Roman"/>
        <family val="1"/>
        <charset val="186"/>
      </rPr>
      <t xml:space="preserve">
Lai sniegtu būtisku ieguldījumu darba un ģimenes dzīves saskaņošanā, nepieciešams sakārtot un modernizēt pirmsskolas iestāžu infrastruktūru un sekmēt alternatīvās bērnu un citu aprūpējamo personu pieskatīšanas iespējas.</t>
    </r>
  </si>
  <si>
    <t xml:space="preserve">Sasniedzamie rezultāti:
Izveidoti elektroniskie pakalpojumi (t.sk. publiski pieejamie elektroniskie pakalpojumi un publiskās pārvaldes elektroniskie pakalpojumi) - 150 plānošanas periodā (kopumā plānots šo rādītāju pat pārsneigt  izveidojot 280 elektroniskos pakalpojumus).
Sasniegtie rezultāti:
Šobrīd apakšaktivitātes ietvaros nav pabeigti projekti, līdz ar to uzraudzības rādītāju sasniegšana tiks nodrošināta 2012.gadā.
</t>
  </si>
  <si>
    <t xml:space="preserve">Sasniedzamie rezultāti:
Jaunizveidoto publisko interneta pieejas punktu skaits līdz plānošanas perioda beigām -400.
Sasniegtie rezultāti:
Šobrīd aktivitātes ietvaros nav uzsākta projektu īstenošana, līdz ar to uzraudzības rādītāju sasniegšana tiks nodrošināta nākošajos gados.
Ekonomiskā ietekme:
Interneta pieejamības līmenis dažādos reģionos un valstī kopumā joprojām nav pietiekami augsts, lai gan Rīgā un citās Latvijas lielākās pilsētās interneta pieejamības līmenis pēdējos gados ir strauji paaugstinājies. Pamatojoties uz Latvijas Republikas Centrālās statistikas pārvaldes datiem, var secināt, ka joprojām pastāv samērā lielās atšķirības starp interneta izmantošanas (mājās un darbā) intensitāti pilsētās un laukos, kas norāda uz dažādu ar interneta pieejamību saistīto problēmu lielāku izplatību lauku rajonos, tāpēc nepieciešams veicināt publisko interneta pieejas punktu izveidi, īpaši lauku pašvaldībās. 
Publisko interneta pieejas punktu izveide paaugstinās piekļuves iespējas internetam pēc iespējas plašākam iedzīvotāju lokam, nodrošinot piekļuvi publiskās pārvaldes un komercsabiedrību piedāvātajiem elektroniskajiem u.c. pakalpojumiem un informācijai, lai veicinātu iedzīvotāju iekļaušanos sabiedrības sociālajos, ekonomiskajos un kultūras procesos un uzlabotu viņu dzīves kvalitāti.
</t>
  </si>
  <si>
    <t>Lai sasniegtu plānoto optimālu uzturēšanas apstākļu nodrošināšana augu un dzīvnieku kolekcijām, kolekciju skaits - 2, aktivitātes īstenošana tiks uzsākta 2011.gadā</t>
  </si>
  <si>
    <t xml:space="preserve">Lai sasniegtu plānoto piesārņotās vietas platība, kas attīrīta no vēsturiskā piesārņojuma -7 ha, ir pašlaik ir noslēgti 2 projekti no 3 plānotājiem ar īstenošanas termiņu 4 gadi. </t>
  </si>
  <si>
    <t>Lai sasniegtu plānoto Plūdu apdraudēto teritoriju risku samazināšanas projekti, skaits - 5, pašlaik 
noslēgti 3 projekti</t>
  </si>
  <si>
    <t>Uz 2011.gada beigām bija plānots rekonstruēt 3 hidrotehnisko būvju kompleksu, bet projekta noslēguma maksājums tiks veikt 2012,gadā, līdz ar to rādītāja izpilde tiks nodrošināta 2012,gadā.</t>
  </si>
  <si>
    <t>Aktivitātes īstenošanas uzsākšana tiek plānota 2013.gadā</t>
  </si>
  <si>
    <t xml:space="preserve">Rekulitivētas 206 normatīvo aktu prasībām neatbilstošās izgāztuves,
</t>
  </si>
  <si>
    <t>Plānoto rādītāju papildu iedzīvotāju skaits, uz ko vērsti atkritumu apsaimniekošanas projekti - 2,1 milj., ir sasniegta vērtība 182 946.</t>
  </si>
  <si>
    <t xml:space="preserve"> Rādītāju Dalītās atkritumu savākšanas punktu skaitu nebūs iespējams sasniegt plānotajā vērtībā 8640, jo potenciāliem FS nav pieņēmami spēkā esošie aktivitātes valsts atbalsta nosacījumi un ir pieņemts, ka rādītājs tiks sasniegts ar vērrtību 100. uz doto brīdi rādītāja vērtība ir 0.</t>
  </si>
  <si>
    <t>rādītāji antropogēno slodzi samazinošo infrastruktūras projektu skaits Natura 2000 teritorijās - 50, Natura 2000 teritorijas un izvieotot robežzimju skaits Natura 2000 teritorijā netiks sasniegti, jo bija samazināts finansējums aktivitātes ietvaros., bet otrādi tiks pārsniegts rezultatīvais rādītājs. uz doto brīdi  uz doto brīdi rādītāja vērtība ir 0.</t>
  </si>
  <si>
    <t>Ar īstenotiem projektiem ir sasniegtas 2 ES direktīvas ūdeņu un gaisa stāvokļa kontrolei un uzraudzībai.</t>
  </si>
  <si>
    <r>
      <rPr>
        <b/>
        <sz val="12"/>
        <rFont val="Times New Roman"/>
        <family val="1"/>
        <charset val="186"/>
      </rPr>
      <t xml:space="preserve">Sasniedzamie rezultāti:
</t>
    </r>
    <r>
      <rPr>
        <sz val="12"/>
        <rFont val="Times New Roman"/>
        <family val="1"/>
        <charset val="186"/>
      </rPr>
      <t xml:space="preserve">- Projektu skaits, kas sekmē pilsētvides atjaunošanu un /vai revitalizāciju, nodrošinot pilsētu ilgtspējīgu attīstību un uzlabojot to pievilcību: 2011.gadā: 17; 2013.gadā: 26
- Projektu skaits, kas veicina pilsētu konkurētspējas celšanos, t.sk., sekmē uzņēmējdarbības un tehnoloģijas attīstību: 2011.gadā: 2; 2013.gadā: 16
- Projektu skaits, kas sekmē kopienas attīstību, uzlabojot pakalpojumu pieejamību, nodrošinot vienādas tiesības visām iedzīvotāju grupām: 2011.gadā: 3; 2013.gadā: 20
</t>
    </r>
    <r>
      <rPr>
        <b/>
        <sz val="12"/>
        <rFont val="Times New Roman"/>
        <family val="1"/>
        <charset val="186"/>
      </rPr>
      <t xml:space="preserve">
Sasniegtie rezultāti:
- </t>
    </r>
    <r>
      <rPr>
        <sz val="12"/>
        <rFont val="Times New Roman"/>
        <family val="1"/>
        <charset val="186"/>
      </rPr>
      <t xml:space="preserve">3.6.1.1.aktivitātes ietvaros tika pabeigti 22 projekti un tiek turpināts īstenot 50 projektus. 2011.gada rādītājs ir izpildīts par 62,5% un veido 38,46% no 2013.gada plānotās sasniedzamās vērtības. Līdz 2013.gadam plānots sasniegt 2013.gada plānoto vērtību. 
- 3.6.1.2.aktivitātes ietvaros ir uzsākta projektu  īstenošana un rezultatīvie rādītāji 2013.gadā tiks sasniegti.
- 3.6.2.1.aktivitātes ietvaros š.g. maijā tiks uzsākta projektu iesniegumu pieņemšana un rezultatīvie rādītāji 2013.gadā tiks sasniegti.
Teritorijas attīstības indeksa ranga pieaugums aktuālo vērtību uz 2010.gada 31.decembri norādīt nav iespējams, jo pēc administratīvi teritoriālās reformas dati nav salīdzināmi un nevar tikt sniegti uzraudzības rādītāja novērtēšanā. Saskaņā ar Ministru kabineta 2010.gada 25.maija noteikumiem Nr.482 „Noteikumi par teritorijas attīstības indeksa aprēķināšanas kārtību un tā vērtībām” teritorijas attīstības indeksa vērtības aprēķina atbilstoši administratīvi teritoriālajam iedalījumam, kas noteikts Administratīvo teritoriju un apdzīvoto vietu likumā. Administratīvo teritoriju un apdzīvoto vietu likums nosaka, ka Latvijas Republiku iedala trīs veidu administratīvajās teritorijās – apriņķos, republikas pilsētās un novados. Pēc vietējo pašvaldību vēlēšanām 2009.gadā teritorijas attīstības indeksa vērtības rēķina 110 novadiem un deviņām republikas pilsētām, neatspoguļojot novadu teritoriālo vienību – novadu pilsētu un pagastu – sociāli ekonomiskās attīstības līmeni.
</t>
    </r>
    <r>
      <rPr>
        <b/>
        <sz val="12"/>
        <rFont val="Times New Roman"/>
        <family val="1"/>
        <charset val="186"/>
      </rPr>
      <t>Ekonomiskā ietekme:</t>
    </r>
    <r>
      <rPr>
        <sz val="12"/>
        <rFont val="Times New Roman"/>
        <family val="1"/>
        <charset val="186"/>
      </rPr>
      <t xml:space="preserve">
Ieguldījumi, kas veikti ievērojot valsts policentriskas attīstīvas principus, balstoties uz integrētajām pašvaldību attīstības programmām, ir priekšnoteikums negatīvu sociāli ekonomiskās attīstības atšķirību mazināšanai starp Rīgas aglomerāciju un citām apdzīvotām vietām (nacionālajiem un reģionālajiem attīstības centriem), uzņēmējdarbības vides attīstībai, degradēto pilsētu teritoriju revitalizācijai, ekonomikās izaugsmes veicināšanai un starptautiskās konkurētspējas nostiprināšanai.
Pilsētu attīstība tiek virzīta ar mērķi panākt līdzsvaru starp ekonomiskās darbības, kopienas attīstības un vides kvalitātes aspektiem, kas ir būtiski pilsētu pievilcības un iedzīvotāju dzīves kvalitātes uzlabošanas priekšnoteikumi. Lai to nodrošinātu, pasākuma aktivitāšu ietvaros tiek sniegts atbalsts pilsētu izaugsmei būtisku faktoru attīstībai, nodrošinot pievilcīgu dzīves vidi, veicinot uzľēmējdarbības, īpaši uz zināšanām balstītas un inovatīvas uzľēmējdarbības aktivitāti, sekmējot pakalpojumu pieejamību un sasniedzamību, iedzīvotāju mobilitāti, kā arī vides kvalitātes stāvokļa uzlabošanos.</t>
    </r>
  </si>
  <si>
    <t xml:space="preserve">Noasfaltēti 181.1 km valsts 1.šķiras autoceļu. Kopumā noslēgto līgumu ietvaros plānots noasfaltēt 344 km (saskaņā ar darbības programmā plānoto -  330 km), līdz ar to rādītāju plānots sasniegt pa 104.2%. </t>
  </si>
  <si>
    <t>Rekonstruēti 13.1 km  tranzītielu (tas ir 5.46% no kopējo tranzītielu garuma), kopumā aktivitātes ietvaros līdz 2015.gadam plānots rekonstruēt tranzītielas 20 km garumā</t>
  </si>
  <si>
    <t xml:space="preserve">Iznākuma rādītājs „Realizēto satiksmes drošības uzlabošanas projektu skaits Rīgā” kvantifikācija 2015.gadā ir līdz 10.Apakšaktivitātes ietvaros ir noslēgtas 8 vienošanās par projektu īstenošanu. Rezultāta rādītājs „Ceļu satiksmes negadījumos bojā gājušo skaita attiecības pret satiksmes intensitātes pieaugumu samazinājums Rīgā”  kvantifikācija 2015.gadā ir par 2 %. Uz doto brīdi apakšaktivitātes ietvaros noteiktā rezultāta rādītāja sasniegšana nav plānota, jo projekti ir agrīnā ieviešanas stadijā un rādītājs ir sasniedzams projektu dzīves cikla beigās.  </t>
  </si>
  <si>
    <t>Aktivitātes īstenošana uzsākta tikai 2012.gada sākumā, līdz ar to plānotos rezultātus būs iespējams sasniegt nākošajos gados un palielināt interneta lietotāju  skaitu uz 100 iedzīvotājiem līdz 75%.</t>
  </si>
  <si>
    <t>Finansējums pārdalīts citu aktivitāšu īstenošanai.</t>
  </si>
  <si>
    <t>Aktivitātes īstenošana atlaikta.</t>
  </si>
  <si>
    <t xml:space="preserve">izbūvēti un rekonstruēti 23,5 km TEN autoceļa. Plānots, ka noslēgto līgumu ietvaros tiks izbūvēti un rekonstruēti ceļi 561 km garumā (saskaņā ar darbības programmā plānoto - 56.4 km), līdz ar to rādītāju plānots pārsniegt par  895%, jo tika pārdalīts papildu finansējums. </t>
  </si>
  <si>
    <r>
      <t>Sasniedzamie rezultāti:</t>
    </r>
    <r>
      <rPr>
        <sz val="12"/>
        <color indexed="8"/>
        <rFont val="Times New Roman"/>
        <family val="1"/>
        <charset val="186"/>
      </rPr>
      <t xml:space="preserve">
1) izbūvētā TEN dzelzceļa kopgarums 52 km;
2) Dzelzceļa posma Rīga - Krustpils (t.sk., Skrīveri-Krustpils iecirknis) caurlaides spēja 25 453 000 tonnas/gadā;
3) Rīgas dzelzceļa mezgla staciju pārstrādes spēja 37 500 000 tonnas/gadā.</t>
    </r>
  </si>
  <si>
    <r>
      <t>Sasniedzamie rezultāti:</t>
    </r>
    <r>
      <rPr>
        <sz val="12"/>
        <color indexed="8"/>
        <rFont val="Times New Roman"/>
        <family val="1"/>
        <charset val="186"/>
      </rPr>
      <t xml:space="preserve">
1) ostu skaits, kurās veiktas investīcijas pieejamības un hidrotehnisko būvju uzlabošanā - 3;
2) Palielināta ostu caurlaides spēja par 7 %.</t>
    </r>
  </si>
  <si>
    <r>
      <t>Sasniedzamie rezultāti:</t>
    </r>
    <r>
      <rPr>
        <sz val="12"/>
        <color indexed="8"/>
        <rFont val="Times New Roman"/>
        <family val="1"/>
        <charset val="186"/>
      </rPr>
      <t xml:space="preserve">
1) Lidostas „Rīga” termināla jaudas palielinājums par 25 %;
2) Lidostu skaits, kurās veikta infrastruktūras izbūve un/vai rekonstrukcija - 3.</t>
    </r>
  </si>
  <si>
    <r>
      <t>Sasniedzamie rezultāti:</t>
    </r>
    <r>
      <rPr>
        <sz val="12"/>
        <color indexed="8"/>
        <rFont val="Times New Roman"/>
        <family val="1"/>
        <charset val="186"/>
      </rPr>
      <t xml:space="preserve"> realizēto projektu skaits lielajās pilsētās - 2.</t>
    </r>
  </si>
  <si>
    <r>
      <t>Sasniedzamie rezultāti:</t>
    </r>
    <r>
      <rPr>
        <sz val="12"/>
        <color indexed="8"/>
        <rFont val="Times New Roman"/>
        <family val="1"/>
        <charset val="186"/>
      </rPr>
      <t xml:space="preserve">
1) iegādāto trīsvagonu dzīzeļvilcienu skaits - 7;
2) iegādāto jaunu elektrovilcienu skits- 34.</t>
    </r>
  </si>
  <si>
    <t>DPP rādītājs-atbalstīto veselības aprūpes un veselības veicināšanas profesionāļu skaits uz 31.12.2011. - 29 510 personas (2013.gadā plānots sasniegt 32 880);
DPP rādītājs-atbilstoši (sekmīgi nokārtota resertifikācija) apmācītā veselības aprūpes personāla īpatsvars [procentos] - 70.92% (sākotnēja vērtība - 65% un 2013.gadā plānots sasniegt 95%).</t>
  </si>
  <si>
    <t xml:space="preserve">DPP rādītājs-atbalstīto veselības aprūpes un veselības veicināšanas profesionāļu skaits (uz 02.05.2011) – 29 510  personas (2013.gadā plānots sasniegt 32 880);
DPP rādītājs-atbilstoši (sekmīgi nokārtota resertifikācija) apmācītā veselības aprūpes personāla īpatsvars [procentos] – 88,05% (sākotnēja vērtība - 65% un 2013.gadā plānots sasniegt 95%).
</t>
  </si>
  <si>
    <t>Stacionārās veselības aprūpes aktivitātē gultu noslogojuma rādītāja vērtība uz 2011.gada beigām bija 74.30, progress ir negatīvs, jo rādītāja sākotnēja vērtība bija 75.40 un turklāt AI plānotā vērtība uz 2011.gada beigām ir 79. VeM to skaidro ar to, ka rādītāja aprēķināšanai par pamatojumu tiek ņemti  slimnīcu dati un aprēķināšanas metodikas trūkumu dēļ aprēķinātas vērtības neatspoguļo reālo situāciju. Gultu noslodzi aprēķina ņemot vērā  visas fiziski esošās gultas slimnīcās, kā tas ticis darīts līdz šim kā rutīnas aprēķins, savukārt aprēķināšanai ir nepieciešams noslogoto un ar citiem resursiem atbalstīto gultu skaits. Esošo situāciju plānots uzlabot ar VeM izveidotās darba grupas par priekšlikumu izstrādi par stacionāro ārstniecības iestāžu darba kvalitātes vērtēšanas kritērijiem palīdzību, kuras ietvaros tiks izstrādāta metodika, kā objektīvi un reālistiski aprēķināt gultu noslodzi.</t>
  </si>
  <si>
    <t>DPP rādītājs - (uz 02.05.2011) iegādātas un uzstādītas 4 jaunās onkoloģijas slimnieku radioterapijas ārstēšanas aparatūras vienības 100% no plānota 
Projektu ietvaros:
1. Uzsākta jaunu pakalpojumu sniegšana 2 slimnīcās
2. SIA "Rīgas Austrumu klīniskā universitātes slimnīca" un  VSIA „ Paula Stradiņa klīniskās universitātes slimnīca”  pēc projektu pabeigšanas ir uzlabojusies spēja sniegt onkoloģijas pakalpojumus, maksimāli ierobežojot blakusefektus no staru terapijām, pieaudzis stacionārā sniegto  procedūru skaits un pieaudzis ambulatoro pacientu skaits.</t>
  </si>
  <si>
    <t xml:space="preserve">Pasākumu plāns administratīvā sloga samazināšanai komersantiem un iedzīvotajiem apstiprināts Ministru kabinetā  23.08.2011.  ietver 31 ministrijām  veicamu uzdevumu :
Izglītības iestāžu uzraudzības un kontroles pasākumu samazināšanas  plāns apstiprināts MK 8.11. 2011., kurā ietverti uzd. 6 ministrijām; 72 semināri tiesību aktu izstrādātājiem  ( 1345 dalībnieki)  par administratīvā sloga regulējuma analīzi, samazināšanas jautājumiem.  
</t>
  </si>
  <si>
    <t xml:space="preserve">KVS ieviestas un sertificētas 23 institūcijās; ieviesti KVS elementi izstrādātas KVS rokasgrāmatas un procesu apraksti; veiktas klientu aptaujas un izstrādātas klientu apmierinātības mērīšanas metodikas; apmācīti 1858  darbinieki par KVS. Publisko  pārvaldes  iestāžu  skaits ,kurās ieviesta KVS , skaita pieaugums par 12%. </t>
  </si>
  <si>
    <t xml:space="preserve">Projektos plānots: pakalpojumu kvalitātes novērtēšanas metodoloģiju izstrāde, adaptēšana un pilnveidošana; pakalpojumu kvalitātes izvērtēšanas pasākumi (pētījumi, aptaujas, auditi); apmācības un semināri darbiniekiem; jauni IT risinājumi un uzlabojumi pakalpojumu sniegšanā; pakalpojumu kvalitātes uzlabošanas pasākumu izstrāde un ieviešana u.tml. īpaši tām institūcijām , kuras strādā  šādās  jomās: nodokļu  administrēšanas, finanšu  plānošana un vadība, sociālās politikas jomā. </t>
  </si>
  <si>
    <t xml:space="preserve">Izveidotas 5 reģionālās LDDK un 5 reģionālās LBAS struktūrvienības; izveidotas 4 reģionālās Trīspusējās sadarbības padomes (Liepājā, Daugavpilī, Jūrmalā, Rēzeknē); izveidotas 3 reģionālās uzņēmēju apvienības; sniegtas konsultācijas darba devējiem; izstrādātas apmācību programmas. 
Kā rezultāta rādītājs aktivitātei noteikts darbinieku īpatsvars , ar kuriem noslēgts darba koplīgums. Uz 31.12. 2011. sasniegtā vērtība ir 17,4%  , kas ir 83% no DPP  noteiktās sasniedzamās vērtības – 21%.  
</t>
  </si>
  <si>
    <t xml:space="preserve">Projektos plānots: apmācības; līdzdalības veicināšana ES sadarbības un attīstības sadarbības tīklos; inovatīvu pakalpojumu attīstīšana; publisko pakalpojumu pielāgošana kvalitātes standartiem; pētījumi; konsultācijas un apmācības NVO pārstāvjiem u.tml.; 
Kā rezultāta rādītājs aktivitātei noteikts  NVO īpatsvars , kas piedalās ES  struktūrfondu finansēto pasākumu īstenošanā .  Uz 31.12. 2011. sasniegtā vērtība ir 1, 74% , kas ir 87% no DPP  noteiktās  sasniedzamās vērtības – 2%.  
Atbalstīto  NVO kopskaits pārsniedz sākotnēji DP plānoto ( 200) , jo atbalstu saņēmušas  arī NVO partnerorganizācijas. 
</t>
  </si>
  <si>
    <t>Projektos plānots: metodisko un informatīvo materiālu izstrāde; apmācības un konsultācijas pašvaldību darbiniekiem; ārvalstu finanšu palīdzības piesaistes plānošana; pētījumi u.tml.</t>
  </si>
  <si>
    <t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t>
  </si>
  <si>
    <t xml:space="preserve">Darbības programmas „Infrastruktūra un pakalpojumi” papildinājums nosaka, ka 3.4.3.pasākuma „Kultūrvides sociālekonomiskā ietekme” ietvaros tiek īstenota 3.4.3.1.aktivitāte „Nacionālas un reģionālas nozīmes daudzfunkcionālu centru izveide” (turpmāk – 3.4.3.1.aktivitāte), kuras mērķis ir kultūrvides sakārtošana un reģionu pievilcības palielināšana dzīves un darba apstākļiem, kas pēc 3.4.3.1.aktivitātes projektu īstenošanas veicinās augsti kvalificēta darbaspēka piesaisti un saglabāšanu, attīstīs teritoriju ekonomisko rosību, kā arī nodrošinās daudzfunkcionālu infrastruktūru pakalpojumu sniegšanai kultūras, izglītības, brīvā laika pavadīšanas, sabiedrisko pasākumu, uzņēmējdarbības, biznesa un citās jomā. 
3.4.3.1.aktivitātes ietvaros: 
• iznākuma rādītāja „Izveidoto daudzfunkcionālo kultūras centru skaits” 2013.gadā plānotā vērtība ir „4”. Uz doto brīdi aktivitātes ietvaros sasniegtā vērtība ir „0”; 
• rezultāta rādītāja „Kultūras pakalpojumu pieprasījums” 2013.gadā plānotā vērtība ir 2.47 milj. apmeklējumi, uz doto brīdi aktivitātes ietvaros sasniegtā vērtība ir „0”. 
Sasniegtās rādītāju vērtības skaidrojams ar to, ka rezultātu un iznākumu rādītāji tiks sasniegti, kad būs noslēgusies projektu īstenošana, tas ir atbilstoši projektu īstenošanas laika grafikiem sākot ar 2012.gada 3.ceturksni. Minētie rādītāji netiks sasniegti pilnā apjomā, jo ir noslēgtas 3 projekta vienošanās no 4 plānotām.
</t>
  </si>
  <si>
    <t xml:space="preserve">Darbības programmas „Infrastruktūra un pakalpojumi” papildinājums nosaka, ka 3.4.3.pasākuma „Kultūrvides sociālekonomiskā ietekme” ietvaros tiek īstenota 3.4.3.2.aktivitāte „Sociālekonomiski nozīmīgu kultūras mantojuma objektu atjaunošana” (turpmāk – 3.4.3.2.aktivitāte), kuras mērķis ir atjaunot kultūras mantojuma objektus, lai palielinātu to ekonomisku un inovatīvu izmantošanu, kas var kalpot kā nozīmīgs faktors teritoriju ekonomiskajai reģenerācijai, to pievilcības palielināšanai, dzīvei, darbam un uzņēmējdarbībai labvēlīgu apstākļu nodrošināšanai.
3.4.3.2.aktivitātes ietvaros: 
• iznākuma rādītāja „Atjaunoto un saglabāto kultūras mantojuma objektu skaits” 2013.gadā plānotā vērtība ir „10”, bet uz doto brīdi aktivitātes ietvaros sasniegtā vērtība ir „0”.
Sasniegtā vērtība skaidrojama ar to, ka projektu īstenošana sākusies 2011,gadā un rādītāji tiks sasniegti pēc projektu beigām. Rādītājs netiks sasniegts pilnā apmērā, jo vienošanās noslēgtas par 6 projektiem no plānotiem 10.
Aktivitātes ietvaros veicot nedzīvojamo ēku un būvju renovācijas, rekonstrukcijas, restaurācijas un konservācijas darbus būvniecības nozarē tiks radīti un veicināti priekšnoteikumi sociālekonomiskai attīstībai un pozitīvai darba tirgus attīstībai tādējādi sekmējot arī reģionu ilgtspējīgu attīstību.  
</t>
  </si>
  <si>
    <t xml:space="preserve">Darbības programmas „Infrastruktūra un pakalpojumi” papildinājums nosaka, ka 3.4.3.pasākuma „Kultūrvides sociālekonomiskā ietekme” ietvaros tiek īstenota 3.4.3.3.aktivitāte „„Atbalsts kultūras pieminekļu privātīpašniekiem kultūras pieminekļu saglabāšanā un to sociālekonomiskā potenciāla efektīvā izmantošanā”, kuras mērķis ir nodrošināt tādu kultūras pieminekļu saglabāšanu, pieejamību sabiedrībai un sociālekonomisku izmantošanu, kas atrodas privātīpašumā un nodrošina nozīmīgas publiskas funkcijas. 
3.4.3.3.aktivitātes ietvaros: 
• iznākuma rādītāja „Privātīpašumā esošo atjaunoto un saglabāto kultūras mantojuma objektu skaits” 2013.gadā plānotā vērtība ir „5”, uz doto brīdi aktivitātes ietvaros sasniegtā vērtība ir „0”;
• Rezultāta rādītāja „Kultūras pieminekļu īpatsvars, kuru tehniskais stāvoklis var tikt vērtēts kā labs vai apmierinošs” 2013.gadā plānotā vērtība ir „70 %”, uz doto brīdi aktivitātes ietvaros sasniegtā vērtība ir „0”, jo projekti vēl nav pabeigti, kā arī dēļ tā, ka finansējuma saņēmēji projektu pieteikumos nav norādījuši šim rādītājam procentos aprēķināmu sasniedzamo vērtību. 
Aktivitātes ietvaros veicot ēku un būvju remonta, restaurācijas un konservācijas  darbus būvniecības nozarē tiks radīti un veicināti priekšnoteikumi sociālekonomiskai attīstībai un pozitīvai darba tirgus attīstībai tādējādi sekmējot arī reģionu ilgtspējīgu attīstību.  
</t>
  </si>
  <si>
    <t>Jā</t>
  </si>
  <si>
    <t>Nē</t>
  </si>
  <si>
    <t>Līdz 31.12.2011. 124 vispārējās vidējās izglītības iestādēs modernizēti dabaszinātņu kabineti jeb 55.1% no DPP plānotā (225). Neplāno sasniegt rādītāju.</t>
  </si>
  <si>
    <t>Līdz 31.12.2011. uzlabota infrastruktūra un mācību vide izglītojamiem ar speciālām vajadzībām 29  speciālajās izglītības iestādēs jeb 45.31% no DPP plānotā (64). Izglītojamo ar speciālām vajadzībām īpatsvars, kam nodrošinātas izglītības iespējas uzlabotā mācību vidē ir 40.80% (DPP mērķis 2013.gadā 100%). Neplāno pilnībā sasniegt rādītāju par iestāžu skaitu.</t>
  </si>
  <si>
    <t>Līdz 31.12.2011. 27 vispārējās izglītības iestādes ir pielāgotas skolēniem ar funkcionāliem traucējumiem (DPP mērķis plānošanas periodā 38); izglītojamiem ar funkcionāliem traucējumiem pielāgoto vispārējās vidējās izglītības iestāžu īpatsvars no kopējā vispārējās vidējās izglītības iestāžu skaita ir 7.36% (DPP mērķis -  100%).  Neplāno sasniegt DPP noteiktos rādītājus.</t>
  </si>
  <si>
    <t xml:space="preserve">Rezultatīvo rādītaju nav plānots sasniegt. DPP rādītājs - atbalstīti veselības aprūpes centri (uz 31.12.2011) atbalstīti 13 veselības aprūpes centri (2013.gadā plānots sasniegt 25).
</t>
  </si>
  <si>
    <t xml:space="preserve">Rezultatīvo rādītaju nav plānots sasniegt. 1. 13.08.2010 apstiprināti aktivitātes MK noteikumi Nr.726 "Noteikumi par darbības programmas "Infrastruktūra un pakalpojumi" papildinājuma 3.1.5.1.1.apakšaktivitāti "Ģimenes ārstu tīkla attīstība". 
2. 1.atlases kārtas projektu iesniegšana  pabeigta 04.11.2010. Izvērtēšanai ir saņemti 230 projektu iesniegumi. 
3. Vērtēšana pabeigta 04.02.2011. 
4. Rezultātā: 188 līgumi noslēgti, 2 projekta iesniegumi apstiprināti, 4 projekts pabeigts, 24 - noraidīti un 11 - atsaukti 
5. Aktivitātes ietvaros rādītāja aktuālā vērtība ir 4, līdz plānošanas perioda beigām plāno atbalstīt 65 ģimenes ārstu prakses, aktīva rādītāja sasniegšana sāksies pēc projektu beigām, t.i. sākot ar 2012.gada martu                                                           6. 2011.gada novembrī izsludināta 2.projektu iesniegumu atlases  kārta </t>
  </si>
  <si>
    <t>Iznākuma rādītājs „Apstiprināto satiksmes drošības uzlabošanas projektu skaits apdzīvotās vietās ārpus Rīgas” kvantifikācija 2015.gadā ir 90. Apakšaktivitātes ietvaros ir noslēgtas 83 vienošanās par projektu īstenošanu. Iznākuma rādītājs ir sasniegts 92 % apmērā. Pabeigto projektu skaits ir 34,  šo projektu ietvaros – plānotās aktivitātes ir ieviestas un projektu mērķis ir sasniegts, veikti transporta infrastruktūras uzlabojumi. Rādītāju nav plānots ssniegt.</t>
  </si>
  <si>
    <t>Rādītājus plāno sasniegt. Papildu iedzīvotāju skaits, uz ko vērsti ūdenssaimniecības projekti - 16540;                             iedzīvotāju īpatsvars, kam nodrošināti normatīvo aktu prasībām atbilstoši notekūdens apsaimniekošanas pakalpojumi ir 54,22% (kopā ar bāzi)
Iedzīvotāju īpatsvars, kam nodrošināti normatīvo aktu prasībām atbilstoši dzeramā ūdens apsaimniekošanas pakalpojumi ir 44,60% (kopā ar bāzi)</t>
  </si>
  <si>
    <r>
      <rPr>
        <b/>
        <sz val="12"/>
        <color indexed="8"/>
        <rFont val="Times New Roman"/>
        <family val="1"/>
        <charset val="186"/>
      </rPr>
      <t>Rezultāta rādītāju plāno nesasniegt. Sasniedzamie rezultāti</t>
    </r>
    <r>
      <rPr>
        <sz val="12"/>
        <color indexed="8"/>
        <rFont val="Times New Roman"/>
        <family val="1"/>
        <charset val="186"/>
      </rPr>
      <t xml:space="preserve">: Rekonstruēti siltumtīkli 2011.gadā 7,2km, 2013.gadā - 105km. </t>
    </r>
    <r>
      <rPr>
        <b/>
        <sz val="12"/>
        <color indexed="8"/>
        <rFont val="Times New Roman"/>
        <family val="1"/>
        <charset val="186"/>
      </rPr>
      <t xml:space="preserve">Sasniegtie rezultāti: </t>
    </r>
    <r>
      <rPr>
        <sz val="12"/>
        <color indexed="8"/>
        <rFont val="Times New Roman"/>
        <family val="1"/>
        <charset val="186"/>
      </rPr>
      <t>2011.gadā rekonstruēti siltumtīkli 4,2km garumā, kas ir 58,3%  no 2011. gadā plānojamās sasniegtās vērtības un 2,6% no plānotās sasniedzamās vērtības 2013.gadā. Pabeigti 6 projekti, turpinās 26 projektu īstenošana.</t>
    </r>
  </si>
  <si>
    <t>Rādītājus plāno nesasniegt. Papildu iedzīvotāju skaits, uz ko vērsti ūdenssaimniecības projekti - 87283.
Iedzīvotāju īpatsvars, kam nodrošināti normatīvo aktu prasībām atbilstoši notekūdeņu apsaimniekošanas pakalpojumi ir 53,64%
Iedzīvotāju īpatsvars, kam nodrošināti normatīvo aktu prasībām atbilstoši ūdensapgādes pakalpojumi ir 58,30%</t>
  </si>
  <si>
    <t>Iesniegti 11 starptautisko patentu pieteikumi.  Tehnoloģiju pārneses kontaktpunkta sagatavoti 133 komercializācijas piedāvājumi.
 (31.12.2010)</t>
  </si>
  <si>
    <t>67 komersanti, kas ievieš jaunus produktus vai tehnoloģijas (31.12.2011.). Prognozējamais komersantu skaits, kas ievieš jaunus prod. vai tehnoloģijas - 88.</t>
  </si>
  <si>
    <t>35 komersanti, kas ievieš jaunus produktus vai tehnoloģijas (31.12.2011), līdz 2015.g. rādītājs tiks sasniegts pilnā apmērā.</t>
  </si>
  <si>
    <t>Pieejamais ES fondu finansējums jaunu saistību uzņemšanai, LVL</t>
  </si>
  <si>
    <t>Pieejamais ES fondu finansējums jaunu saistību uzņemšanai, % no ES fondu fin.</t>
  </si>
  <si>
    <t xml:space="preserve">Uz 31.12.2011. noslēgtas 122 vienošanās/līgumi, projektu īstenošana uzsākta 2010.gada beigās un 2011.gada sākumā. 
Sasniedzamie rādītāji: pieaudzis starptautiski atzītu publikāciju (tajā skaitā SCI) skaits gadā – 800 2013.gadā;  pieaudzis pieteikto starptautisko patentu skaits gadā – 43 2013.gadā.
Līdz 31.12.2011. aktivitātes ietvaros ir pieteikti 4 starptautiski patenti un apstiprinātas 79 publikācijas. Ņemot vērā, ka laiks no patenta pieteikšanas līdz tā apstiprināšanai vidēji ir vismaz 5 gadi, tad faktisko aktivitātes ieguldījumu varēs novērtēt pēc aktivitātes īstenošanas beigām, iegūstot datus no Patentu valdes par reģistrētajiem patentiem aktivitātes īstenošanas laika posmā. </t>
  </si>
  <si>
    <t>Aktivitāte iesaldēta</t>
  </si>
  <si>
    <t xml:space="preserve">Aktivitāte ir pārstrukturēta.  Koncepcijas projekts „Vienotas valsts iestāžu finanšu un vadības grāmatvedības sistēmas un finanšu analīzes rīka izveide, nodrošinot finanšu un cilvēkresursu vadību” atsevisķu nodevumu formātā tiek pārņemts, lai ERAF līdzfinanstētā projektā turpinatu ietrādes.  </t>
  </si>
  <si>
    <r>
      <rPr>
        <b/>
        <sz val="12"/>
        <color indexed="8"/>
        <rFont val="Times New Roman"/>
        <family val="1"/>
        <charset val="186"/>
      </rPr>
      <t>Sasniedzamie rezultāti:</t>
    </r>
    <r>
      <rPr>
        <sz val="12"/>
        <color indexed="8"/>
        <rFont val="Times New Roman"/>
        <family val="1"/>
        <charset val="186"/>
      </rPr>
      <t xml:space="preserve"> 2011,gadā izstrādāti 7 tūrisma maršruti 2013.gadā izstrādāti -19 tūrisma maršruti. </t>
    </r>
    <r>
      <rPr>
        <b/>
        <sz val="12"/>
        <color indexed="8"/>
        <rFont val="Times New Roman"/>
        <family val="1"/>
        <charset val="186"/>
      </rPr>
      <t>Sasniegtie rezultāti:</t>
    </r>
    <r>
      <rPr>
        <sz val="12"/>
        <color indexed="8"/>
        <rFont val="Times New Roman"/>
        <family val="1"/>
        <charset val="186"/>
      </rPr>
      <t xml:space="preserve"> Izstrādāti 5 tūrisma maršruti valsts nozīmes pilsētbūvniecības pieminekļu teritorijās, kas ir 33,3% no plānotās sasniedzamās vērtības 2013,gadā. Turpinās 16 projektu īstenošana.</t>
    </r>
  </si>
  <si>
    <t>Sasniedzamie rādītāji: ieslodzījuma vietu skaits, kurās modernizēti profesionālo mācību priekšmetu kabineti un darbnīcas - 8. Rādītāju progress būs vērojams nākamajos gados.</t>
  </si>
  <si>
    <t xml:space="preserve">Iznākuma rādītāja „Realizēto projektu skaits mazo ostu infrastruktūras uzlabošanā” kvantifikācija 2015.gadā ir līdz 3. Iznākuma rādītāja sasniegtā vērtība ir 2, jo ir noslēgusies abu projektu īstenošana. Rādītājs netiks sasniegts, jo tika atbalstīti tikai 2 projekti. Rezultāta rādītājs: „Kuģu ar kravnesību virs 5000 GT īpatsvars mazajā ostā” kvantifikācija 2015.gadā ir 15 %. Uz šo brīdi rezultāta sasnieguma pakāpe ir 0 - rezultāts tiks sasniegts 2013.gadā. </t>
  </si>
  <si>
    <t>Politiska vajadzība (jā/nē)</t>
  </si>
  <si>
    <t>Kopējās attiecināmās izmaksas, LVL</t>
  </si>
  <si>
    <t>nē</t>
  </si>
  <si>
    <t>jā</t>
  </si>
  <si>
    <t>augsts pieprasījums</t>
  </si>
  <si>
    <t>Apakšaktivitāte "Studiju programmu satura un īstenošanas uzlabošana un akadēmiskā personāla kompetences pilnveidošana"</t>
  </si>
  <si>
    <r>
      <t>I darbības programma  "Cilvēkreursi un nodarbinātība"</t>
    </r>
    <r>
      <rPr>
        <b/>
        <i/>
        <vertAlign val="superscript"/>
        <sz val="13"/>
        <color rgb="FFFF0000"/>
        <rFont val="Times New Roman"/>
        <family val="1"/>
        <charset val="186"/>
      </rPr>
      <t/>
    </r>
  </si>
  <si>
    <t>Prioritāte "Augstākā izglītība un zinātne"</t>
  </si>
  <si>
    <t>Pasākums "Zinātnes un pētniecības potenciāla attīstība"</t>
  </si>
  <si>
    <t>Kopā VISI fondi</t>
  </si>
  <si>
    <t>Kopā ESF</t>
  </si>
  <si>
    <t>Kopā ERAF</t>
  </si>
  <si>
    <t>Kopā KF</t>
  </si>
  <si>
    <t>I DP</t>
  </si>
  <si>
    <t>II DP</t>
  </si>
  <si>
    <t>III DP</t>
  </si>
  <si>
    <t xml:space="preserve">Aktivitāte "Zinātnes un inovāciju politikas veidošanas un administratīvās kapacitātes stiprināšana" </t>
  </si>
  <si>
    <t xml:space="preserve">Aktivitāte "Cilvēkresursu piesaiste zinātnei" </t>
  </si>
  <si>
    <t>Aktivitāte "Motivācijas veicināšana zinātniskajai darbībai"</t>
  </si>
  <si>
    <t>Pasākums "Augstākās izglītības attīstība"</t>
  </si>
  <si>
    <t>Aktivitāte "Atbalsts doktora un maģistra studiju īstenošanai"</t>
  </si>
  <si>
    <t>Apakšaktivitāte "Atbalsts maģistra studiju programmu īstenošanai"</t>
  </si>
  <si>
    <t>Apakšaktivitāte "Atbalsts doktora studiju programmu īstenošanai"</t>
  </si>
  <si>
    <t>Aktivitāte "Atbalsts augstākās izglītības studiju uzlabošanai"</t>
  </si>
  <si>
    <t> Apakšaktivitāte "Boloņas procesa principu ieviešana augstākajā izglītībā"</t>
  </si>
  <si>
    <t>Prioritāte "Izglītība un prasmes"</t>
  </si>
  <si>
    <t>Pasākums "Profesionālās izglītības un vispārējo prasmju attīstība"</t>
  </si>
  <si>
    <t>Aktivitāte "Profesionālās izglītības sistēmas attīstība, kvalitātes, atbilstības un pievilcības uzlabošana"</t>
  </si>
  <si>
    <t>Apakšaktivitāte "Nozaru kvalifikāciju sistēmas izveide un profesionālās izglītības pārstrukturizācija"</t>
  </si>
  <si>
    <t>Apakšaktivitāte "Profesionālajā izglītībā iesaistīto pedagogu kompetences paaugstināšana"</t>
  </si>
  <si>
    <t>Apakšaktivitāte "Atbalsts sākotnējās profesionālās izglītības programmu īstenošanas kvalitātes uzlabošanai un īstenošanai"</t>
  </si>
  <si>
    <t>Apakšaktivitāte "Sākotnējās profesionālās izglītības pievilcības veicināšana"</t>
  </si>
  <si>
    <t>Aktivitāte "Vispārējo zināšanu un prasmju uzlabošana"</t>
  </si>
  <si>
    <t>Apakšaktivitāte "Vispārējās vidējās izglītības satura reforma, mācību priekšmetu, metodikas un mācību sasniegumu vērtēšanas sistēmas uzlabošana"</t>
  </si>
  <si>
    <t>Apakšaktivitāte "Atbalsts vispārējās izglītības pedagogu nodrošināšanai prioritārajos mācību priekšmetos"</t>
  </si>
  <si>
    <t>Apakšaktivitāte "Vispārējās izglītības pedagogu kompetences paaugstināšana un prasmju atjaunošana"</t>
  </si>
  <si>
    <t>Pasākums "Mūžizglītības attīstība un izglītībā un mūžizglītībā iesaistīto institūciju rīcībspējas un sadarbības uzlabošana"</t>
  </si>
  <si>
    <t>Aktivitāte "Mūžizglītības attīstība"</t>
  </si>
  <si>
    <t>Apakšaktivitāte " Mūžizglītības pārvaldes struktūras izveide nacionālā līmenī un inovatīvu mūžizglītības politikas instrumentu izstrāde"</t>
  </si>
  <si>
    <t>Apakšaktivitāte "Atbalsts Mūžizglītības politikas pamatnostādņu īstenošanai"</t>
  </si>
  <si>
    <t>Apakšaktivitāte „Īpašu mūžizglītības politikas jomu atbalsts"</t>
  </si>
  <si>
    <t>Apakšaktivitāte "Pedagogu konkurētspējas veicināšana izglītības sistēmas optimizācijas apstākļos"</t>
  </si>
  <si>
    <t>Aktivitāte "Profesionālās orientācijas un karjeras izglītības attīstība, profesionāli orientētās izglītības attīstība"</t>
  </si>
  <si>
    <t>Apakšaktivitāte "Profesionālās orientācijas un karjeras izglītības attīstība izglītības sistēmā"</t>
  </si>
  <si>
    <t>Apakšaktivitāte "Profesionālās orientācijas un karjeras izglītības pieejamības palielināšana jauniešiem, profesionāli orientētās izglītības attīstība"</t>
  </si>
  <si>
    <t>Aktivitāte "Par izglītības un mūžizglītības politiku atbildīgo institūciju rīcībspējas un sadarbības stiprināšana"</t>
  </si>
  <si>
    <t>Apakšaktivitāte „Atbalsts izglītības pētījumiem”</t>
  </si>
  <si>
    <t>Aktivitāte "Izglītības pieejamības nodrošināšana sociālās atstumtības riskam pakļautajiem jauniešiem un iekļaujošas izglītības attīstība"</t>
  </si>
  <si>
    <t>Apakšaktivitāte "Iekļaujošas izglītības un sociālās atstumtības riskam pakļauto jauniešu atbalsta sistēmas izveide, nepieciešamā personāla sagatavošana, nodrošināšana un kompetences paaugstināšana"</t>
  </si>
  <si>
    <t>Apakšaktivitāte "Atbalsta pasākumu īstenošana jauniešu sociālās atstumtības riska mazināšanai un jauniešu ar funkcionālajiem traucējumiem integrācijai izglītībā"</t>
  </si>
  <si>
    <t>Prioritāte "Nodarbinātības veicināšana un veselība darbā"</t>
  </si>
  <si>
    <t>Pasākums "Nodarbinātība"</t>
  </si>
  <si>
    <t>Aktivitāte "Darbaspējas vecuma iedzīvotāju konkurētspējas paaugstināšana darba tirgū, t.sk., nodarbināto pārkvalifikācija un aktīvie nodarbinātības pasākumi"</t>
  </si>
  <si>
    <t>Apakšaktivitāte "Atbalsts nodarbināto apmācībām komersantu konkurētspējas veicināšanai - atbalsts partnerībās organizētām apmācībām "</t>
  </si>
  <si>
    <t>Apakšaktivitāte "Bezdarbnieku un darba meklētāju apmācība"</t>
  </si>
  <si>
    <t>Apakšaktivitāte "Atbalsts nodarbināto apmācībām komersantu konkurētspējas veicināšanai - atbalsts komersantu individuāli organizētām apmācībām"</t>
  </si>
  <si>
    <t>Apakšaktivitāte "Atbalsts potenciālo bezdarbnieku apmācībai"</t>
  </si>
  <si>
    <t>Aktivitāte "Atbalsts darba vietu radīšanai"</t>
  </si>
  <si>
    <t>Aktivitāte "Atbalsts pašnodarbinātības un uzņēmējdarbības uzsākšanai"</t>
  </si>
  <si>
    <t>Aktivitāte "Darba attiecību un darba drošības normatīvo aktu  praktiska piemērošana un uzraudzības pilnveidošana"</t>
  </si>
  <si>
    <t>Apakšaktivitāte "Darba attiecību un darba drošības normatīvo aktu uzraudzības pilnveidošana"</t>
  </si>
  <si>
    <t>Apakšaktivitāte "Darba attiecību un darba drošības normatīvo aktu praktiska piemērošana nozarēs un uzņēmumos"</t>
  </si>
  <si>
    <t>Aktivitāte "Kapacitātes stiprināšana darba tirgus institūcijām"</t>
  </si>
  <si>
    <t>Aktivitāte "Vietējo nodarbinātības veicināšanas pasākumu plānu ieviešanas atbalsts"</t>
  </si>
  <si>
    <t>Aktivitāte "Atbalsts dzimumu līdztiesības veicināšanai darba tirgū"</t>
  </si>
  <si>
    <t>Aktivitāte "Darba tirgus pieprasījuma īstermiņa un ilgtermiņa prognozēšanas un uzraudzības sistēmas attīstība"</t>
  </si>
  <si>
    <t>Aktivitāte "Atbalsts labāko inovatīvo risinājumu meklējumiem un labas prakses piemēru integrēšanai darba tirgus politikās un ieviešanas instrumentārijos"</t>
  </si>
  <si>
    <t>Aktivitāte "Augstas kvalifikācijas darbinieku piesaiste"</t>
  </si>
  <si>
    <t>Pasākums "Veselība darbā"</t>
  </si>
  <si>
    <t>Aktivitāte "Veselības uzlabošana darbavietā, veicinot ilgtspējīgu nodarbinātību"</t>
  </si>
  <si>
    <t>Aktivitāte "Pētījumi un aptaujas par veselību darbā"</t>
  </si>
  <si>
    <t>Aktivitāte "Veselības aprūpes un veicināšanas procesā iesaistīto institūciju personāla kompetences, prasmju un iemaņu līmeņa paaugstināšana"</t>
  </si>
  <si>
    <t>Prioritāte "Sociālās iekļaušanas veicināšana"</t>
  </si>
  <si>
    <t>Pasākums "Sociālā iekļaušana"</t>
  </si>
  <si>
    <t>Aktivitāte "Iedzīvotāju ekonomiskās aktivitātes stimulēšana"</t>
  </si>
  <si>
    <t>Apakšaktivitāte "Kompleksi atbalsta pasākumi iedzīvotāju integrēšanai darba tirgū"</t>
  </si>
  <si>
    <t>Apakšaktivitāte "Atbalstītās nodarbinātības pasākumi mērķgrupu bezdarbniekiem"</t>
  </si>
  <si>
    <t>Aktivitāte "Darbspēju vērtēšanas sistēmas un sociālo pakalpojumu ieviešanas sistēmas pilnveidošana"</t>
  </si>
  <si>
    <t>Apakšaktivitāte "Darbspēju vērtēšanas sistēmas pilnveidošana"</t>
  </si>
  <si>
    <t>Apakšaktivitāte "Sociālās rehabilitācijas pakalpojumu attīstība personām ar redzes un dzirdes traucējumiem"</t>
  </si>
  <si>
    <t>Sociālās rehabilitācijas un institūcijām alternatīvu sociālās aprūpes pakalpojumu attīstība reģionos"</t>
  </si>
  <si>
    <t>Prioritāte "Administratīvās kapacitātes stiprināšana"</t>
  </si>
  <si>
    <t>Pasākums "Labāka regulējuma politika"</t>
  </si>
  <si>
    <t>Aktivitāte "Politikas ietekmes novērtēšana un politikas pētījumu veikšana"</t>
  </si>
  <si>
    <t>Apakšaktivitāte "Atbalsts strukturālo reformu īstenošanai un analītisko spēju stiprināšanai valsts pārvaldē"</t>
  </si>
  <si>
    <t>Apakšaktivitāte "Politikas pētījumu veikšana"</t>
  </si>
  <si>
    <t>Aktivitāte "Administratīvo šķēršļu samazināšana un publisko pakalpojumu kvalitātes uzlabošana"</t>
  </si>
  <si>
    <t>Aktivitāte "Publisko varu realizējošo institūciju darbības kvalitātes un efektivitātes paaugstināšana"</t>
  </si>
  <si>
    <t>Apakšaktivitāte "Kvalitātes vadības sistēmas izveide un ieviešana"</t>
  </si>
  <si>
    <t>Apakšaktivitāte "Publisko pakalpojumu kvalitātes paaugstināšana valsts, reģionālā un vietējā līmenī"</t>
  </si>
  <si>
    <t>Pasākums "Cilvēkresursu kapacitātes stiprināšana"</t>
  </si>
  <si>
    <t>Aktivitāte "Publiskās pārvaldes cilvēkresursu plānošanas un vadības IT sistēmas izstrāde un ieviešana"</t>
  </si>
  <si>
    <t>Aktivitāte "Sociālo partneru, nevalstisko organizāciju un pašvaldību kapacitātes stiprināšana"</t>
  </si>
  <si>
    <t>Apakšaktivitāte "Sociālo partneru administratīvās kapacitātes stiprināšana"</t>
  </si>
  <si>
    <t>Apakšaktivitāte "NVO administratīvās kapacitātes stiprināšana"</t>
  </si>
  <si>
    <t>Apakšaktivitāte "Atbalsts pašvaldībām kapacitātes stiprināšanā Eiropas Savienības struktūrfondu finansēto pasākumu ieviešanā"</t>
  </si>
  <si>
    <t>Pasākums "Plānošanas reģionu un vietējo pašvaldību administratīvās un attīstības plānošanas kapacitātes stiprināšana"</t>
  </si>
  <si>
    <t>Aktivitāte "Speciālistu piesaiste plānošanas reģioniem, pilsētām un novadiem"</t>
  </si>
  <si>
    <t>Aktivitāte "Plānošanas reģionu un vietējo pašvaldību attīstības plānošanas kapacitātes paaugstināšana"</t>
  </si>
  <si>
    <t>Prioritāte "Tehniskā palīdzība"</t>
  </si>
  <si>
    <t>Pasākums "Atbalsts darbības programmas "Cilvēkresursi un nodarbinātība" vadībai"</t>
  </si>
  <si>
    <t>Aktivitāte "Programmas vadības un atbalsta funkciju nodrošināšana"</t>
  </si>
  <si>
    <r>
      <t>Darbības programma "Uzņēmējdarbība un inovācijas"</t>
    </r>
    <r>
      <rPr>
        <b/>
        <i/>
        <vertAlign val="superscript"/>
        <sz val="13"/>
        <color rgb="FFFF0000"/>
        <rFont val="Times New Roman"/>
        <family val="1"/>
        <charset val="204"/>
      </rPr>
      <t/>
    </r>
  </si>
  <si>
    <t>Prioritāte "Zinātne un inovācijas"</t>
  </si>
  <si>
    <t>Pasākums "Zinātne, pētniecība un attīstība"</t>
  </si>
  <si>
    <t>Aktivitāte "Atbalsts zinātnei un pētniecībai"</t>
  </si>
  <si>
    <t>Aktivitāte "Atbalsts starptautiskās sadarbības projektiem zinātnē un tehnoloģijās (EUREKA, 7.IP un citi)"</t>
  </si>
  <si>
    <t>Aktivitāte "Zinātnes un pētniecības infrastruktūras attīstība"</t>
  </si>
  <si>
    <t>Apakšaktivitāte "Zinātnes infrastruktūras attīstība"</t>
  </si>
  <si>
    <t>Apakšaktivitāte "Informācijas tehnoloģiju infrastruktūras un informācijas sistēmu uzlabošana zinātniskajai darbībai"</t>
  </si>
  <si>
    <t>Pasākums "Inovācijas"</t>
  </si>
  <si>
    <t xml:space="preserve"> Aktivitāte "Zinātnes komercializācija un tehnoloģiju pārnese"</t>
  </si>
  <si>
    <t>Apakšaktivitāte "Kompetences centri"</t>
  </si>
  <si>
    <t>Apakšaktivitāte "Tehnoloģiju pārneses kontaktpunkti"</t>
  </si>
  <si>
    <t>Apakšaktivitāte "Tehnoloģiju pārneses centri"</t>
  </si>
  <si>
    <t>Aktivitāte "Jaunu produktu un tehnoloģiju izstrāde"</t>
  </si>
  <si>
    <t>Apakšaktivitāte "Jaunu produktu un tehnoloģiju izstrāde"</t>
  </si>
  <si>
    <t>Apakšaktivitāte "Jaunu produktu un tehnoloģiju izstrāde - atbalsts jaunu produktu un tehnoloģiju ieviešanai ražošanā"</t>
  </si>
  <si>
    <t>Apakšaktivitāte "Jaunu produktu un tehnoloģiju izstrāde - atbalsts rūpnieciskā īpašuma tiesību nostiprināšanai"</t>
  </si>
  <si>
    <t>Apakšaktivitāte "MVK jaunu produktu un tehnoloģiju attīstības programma"</t>
  </si>
  <si>
    <t>Aktivitāte "Zinātnes un tehnoloģiju parks"</t>
  </si>
  <si>
    <t>Apakšaktivitāte "Rīgas zinātnes un tehnoloģiju parka (ZTP) attīstība"</t>
  </si>
  <si>
    <t>Aktivitāte "Augstas pievienotās vērtības investīcijas"</t>
  </si>
  <si>
    <t>Prioritāte "Finanšu pieejamība"</t>
  </si>
  <si>
    <t>Pasākums "Finanšu resursu pieejamība"</t>
  </si>
  <si>
    <t xml:space="preserve"> Aktivitāte "Ieguldījumu fonds investīcijām garantijās, paaugstināta riska aizdevumos, riska kapitāla fondos un cita veida finanšu instrumentos"</t>
  </si>
  <si>
    <t>Aktivitāte "Stratēģisko investoru piesaiste"</t>
  </si>
  <si>
    <t>Apakšaktivitāte "Biznesa eņģeļu tīkls"</t>
  </si>
  <si>
    <t>Apakšaktivitāte "Vērtspapīru birža MVK"</t>
  </si>
  <si>
    <t>Aktivitāte "Garantijas komersantu konkurētspējas uzlabošanai"</t>
  </si>
  <si>
    <t>Aktivitāte "Aizdevumi komersantu konkurētspējas uzlabošanai"</t>
  </si>
  <si>
    <t>Apakšaktivitāte "Atbalsts aizdevumu veidā komersantu konkurētspējas uzlabošanai"</t>
  </si>
  <si>
    <t>Apakšaktivitāte "Mezanīna aizdevumi investīcijām komersantu konkurētspējas uzlabošanai"</t>
  </si>
  <si>
    <t>Prioritāte "Uzņēmējdarbības veicināšana"</t>
  </si>
  <si>
    <t>Pasākums "Uzņēmējdarbības atbalsta aktivitātes"</t>
  </si>
  <si>
    <t>Aktivitāte "Ārējo tirgu apgūšana"</t>
  </si>
  <si>
    <t>Apakšaktivitāte „Ārējo tirgu apgūšana - ārējais mārketings”</t>
  </si>
  <si>
    <t xml:space="preserve">Apakšaktivitāte „Ārējo tirgu apgūšana – nozaru starptautiskās konkurētspējas stiprināšana” </t>
  </si>
  <si>
    <t>Aktivitāte "Pasākumi motivācijas celšanai inovācijām un uzņēmējdarbības uzsākšanai"</t>
  </si>
  <si>
    <t>Pasākums "Uzņēmējdarbības infrastruktūras un aprīkojuma uzlabojumi"</t>
  </si>
  <si>
    <t>Aktivitāte "Biznesa inkubatori"</t>
  </si>
  <si>
    <t>Aktivitāte "Atbalsts ieguldījumiem mikro, maziem un vidējiem komersantiem īpaši atbalstāmajās teritorijās (ĪAT)"</t>
  </si>
  <si>
    <t>Aktivitāte "Klasteru programma"</t>
  </si>
  <si>
    <t>Pasākums "Atbalsts darbības programmas "Uzņēmējdarbība un inovācijas" vadībai"</t>
  </si>
  <si>
    <t>III darbības programma "Infrastruktūra un pakalpojumi"</t>
  </si>
  <si>
    <t>III DP - ERAF</t>
  </si>
  <si>
    <t>III DP - KF</t>
  </si>
  <si>
    <t>Prioritāte "Infrastruktūra cilvēku kapitāla nostiprināšanai"</t>
  </si>
  <si>
    <t>Pasākums "Profesionālās izglītības infrastruktūra"</t>
  </si>
  <si>
    <t>Aktivitāte "Mācību aprīkojuma modernizācija un infrastruktūras uzlabošana profesionālās izglītības programmu īstenošanai"</t>
  </si>
  <si>
    <t>Aktivitāte "Profesionālās izglītības infrastruktūras attīstība un mācību aprīkojuma modernizācija ieslodzījuma vietās"</t>
  </si>
  <si>
    <t>Pasākums "Augstākās izglītības infrastruktūra"</t>
  </si>
  <si>
    <t>Apakšaktivitāte "Augstākās izglītības iestāžu telpu un iekārtu modernizēšana studiju programmu kvalitātes uzlabošanai, tajā skaitā, nodrošinot izglītības programmu apgūšanas iespējas arī personām ar funkcionāliem traucējumiem"</t>
  </si>
  <si>
    <t>Apakšaktivitāte "Jaunu koledžas studiju programmu attīstība aviācijas nozarē"</t>
  </si>
  <si>
    <t>Pasākums "Izglītības infrastruktūra vispārējo prasmju nodrošināšanai"</t>
  </si>
  <si>
    <t>Aktivitāte "Kvalitatīvai dabaszinātņu apguvei atbilstošas materiālās bāzes nodrošināšana"</t>
  </si>
  <si>
    <t>Aktivitāte "Atbalsts vispārējās izglītības iestāžu tīkla optimizācijai"</t>
  </si>
  <si>
    <t>Aktivitāte "Speciālās izglītības iestāžu un vispārējās izglītības iestāžu infrastruktūras uzlabošana izglītojamajiem ar speciālām vajadzībām"</t>
  </si>
  <si>
    <t>Apakšaktivitāte "Speciālās izglītības iestāžu infrastruktūras un aprīkojuma uzlabošana"</t>
  </si>
  <si>
    <t>Apakšaktivitāte "Vispārējās izglītības iestāžu infrastruktūras uzlabošana izglītojamajiem ar funkcionāliem traucējumiem"</t>
  </si>
  <si>
    <t>Pasākums "Nodarbinātības un sociālo pakalpojumu infrastruktūra"</t>
  </si>
  <si>
    <t>Aktivitāte "Darbspēju vērtēšanas un sociālo pakalpojumu ieviešanas institūciju infrastruktūras pilnveidošana"</t>
  </si>
  <si>
    <t>Apakšaktivitāte "Infrastruktūras pilnveidošana un zinātniski tehniskās bāzes nodrošināšana darbspēju un funkcionālo traucējumu izvērtēšanai"</t>
  </si>
  <si>
    <t>Aktivitāte "Infrastruktūras pilnveidošana profesionālās rehabilitācijas pakalpojumu sniegšanai"</t>
  </si>
  <si>
    <t>Apakšaktivitāte "Infrastruktūras pilnveidošana sociālās rehabilitācijas pakalpojumu sniegšanai personām ar redzes un dzirdes traucējumiem"</t>
  </si>
  <si>
    <t>Apakšaktivitāte "Jaunu filiāļu izveide tehnisko palīglīdzekļu nodrošināšanai"</t>
  </si>
  <si>
    <t>Apakšaktivitāte "Infrastruktūras pilnveidošana sociālās rehabilitācijas pakalpojumu sniegšanai personām ar garīga rakstura traucējumiem"</t>
  </si>
  <si>
    <t>Aktivitāte "Darba tirgus institūciju infrastruktūras pilnveidošana"</t>
  </si>
  <si>
    <t>Aktivitāte "Pirmsskolas izglītības iestāžu infrastruktūras attīstība nacionālas un reģionālas nozīmes attīstības centros"</t>
  </si>
  <si>
    <t>Aktivitāte "Atbalsts alternatīvās aprūpes pakalpojumu pieejamības attīstībai"</t>
  </si>
  <si>
    <t>Pasākums "Veselības aprūpes infrastruktūra"</t>
  </si>
  <si>
    <t>Aktivitāte "Ambulatorās veselības aprūpes attīstība"</t>
  </si>
  <si>
    <t>Aktivitāte "Ģimenes ārstu tīkla attīstība"</t>
  </si>
  <si>
    <t>Aktivitāte "Veselības aprūpes centru attīstība"</t>
  </si>
  <si>
    <t>Aktivitāte Neatliekamās medicīniskās palīdzības attīstība"</t>
  </si>
  <si>
    <t>Aktivitāte "Stacionārās veselības aprūpes pakalpojumu sniedzēju attīstība"</t>
  </si>
  <si>
    <t>Aktivitāte "Stacionārās veselības aprūpes attīstība"</t>
  </si>
  <si>
    <t>Aktivitāte "Onkoloģijas slimnieku radioterapijas ārstēšanas attīstība"</t>
  </si>
  <si>
    <t>Prioritāte "Teritoriju pieejamības un sasniedzamības veicināšana"</t>
  </si>
  <si>
    <t>Pasākums "Pieejamības un transporta sistēmas attīstība"</t>
  </si>
  <si>
    <t>Aktivitāte "Valsts 1.šķiras autoceļu maršrutu sakārtošana"</t>
  </si>
  <si>
    <t>Aktivitāte "Tranzītielu sakārtošana pilsētu teritorijās"</t>
  </si>
  <si>
    <t>Aktivitāte "Satiksmes drošības uzlabojumi apdzīvotās vietās un Rīgā"</t>
  </si>
  <si>
    <t>Apakšaktivitāte "Satiksmes drošības uzlabojumi apdzīvotās vietās ārpus Rīgas"</t>
  </si>
  <si>
    <t>Apakšaktivitāte "Satiksmes drošības uzlabojumi Rīgā"</t>
  </si>
  <si>
    <t>Aktivitāte "Mazo ostu infrastruktūras uzlabošana"</t>
  </si>
  <si>
    <t>Aktivitāte "Publiskais transports ārpus Rīgas"</t>
  </si>
  <si>
    <t xml:space="preserve">Pasākums "IKT infrastruktūra un pakalpojumi" </t>
  </si>
  <si>
    <t>Aktivitāte "Publiskās pārvaldes elektronisko pakalpojumu un informācijas sistēmu attīstība"</t>
  </si>
  <si>
    <t>Apakšaktivitāte "Informācijas sistēmu un elektronisko pakalpojumu attīstība"</t>
  </si>
  <si>
    <t>Apakšaktivitāte "Izglītības iestāžu informatizācija"</t>
  </si>
  <si>
    <t>Aktivitāte "Publisko interneta pieejas punktu attīstība"</t>
  </si>
  <si>
    <t>Aktivitāte "Elektronisko sakaru pakalpojumu vienlīdzīgas pieejamības nodrošināšana visā valsts teritorijā (platjoslas tīkla attīstība)"</t>
  </si>
  <si>
    <t>Aktivitāte "Valsts nozīmes elektronisko sakaru tīklu izveide, attīstība un pilnveidošana, informācijas datu pārraides drošības nodrošināšana"</t>
  </si>
  <si>
    <t>Apakšaktivitāte "Valsts nozīmes elektronisko sakaru tīklu izveide, attīstība un pilnveidošana"</t>
  </si>
  <si>
    <t>Apakšaktivitāte "Informācijas datu pārraides drošības nodrošināšana"</t>
  </si>
  <si>
    <t>Prioritāte "Eiropas nozīmes transporta tīklu attīstība un ilgtspējīga transporta veicināšana"</t>
  </si>
  <si>
    <t>Pasākums "Liela mēroga transporta infrastruktūras uzlabojumi un attīstība"</t>
  </si>
  <si>
    <t>Aktivitāte "TEN-T autoceļu tīkla uzlabojumi"</t>
  </si>
  <si>
    <t>Aktivitāte "TEN-T dzelzceļa posmu rekonstrukcija un attīstība (Austrumu-Rietumu dzelzceļa koridora infrastruktūras attīstība un Rail Baltica)"</t>
  </si>
  <si>
    <t>Aktivitāte "Lielo ostu infrastruktūras attīstība „Jūras maģistrāļu” ietvaros"</t>
  </si>
  <si>
    <t>Aktivitāte "Lidostu infrastruktūras attīstība"</t>
  </si>
  <si>
    <t>Aktivitāte "Pilsētu infrastruktūras uzlabojumi sasaistei ar TEN-T"</t>
  </si>
  <si>
    <t>Aktvitiāte "Liepājas Karostas ilgtspējīgas attīstības priekšnoteikumu nodrošināšana"</t>
  </si>
  <si>
    <t>Pasākums "Ilgtspējīgas transporta sistēmas attīstība"</t>
  </si>
  <si>
    <t>Aktivitāte "Ilgtspējīga sabiedriskā transporta sistēmas attīstība"</t>
  </si>
  <si>
    <t>    Prioritāte "Kvalitatīvas vides dzīvei un ekonomiskai aktivitātei nodrošināšana"</t>
  </si>
  <si>
    <t>      Pasākums "Vide"</t>
  </si>
  <si>
    <t>Aktivitāte "Ūdenssaimniecības infrastruktūras attīstība apdzīvotās vietās ar iedzīvotāju skaitu līdz 2000"</t>
  </si>
  <si>
    <t>Aktivitāte "Bioloģiskās daudzveidības saglabāšanas ex situ infrastruktūras izveide"</t>
  </si>
  <si>
    <t>Aktivitāte "Vēsturiski piesārņoto vietu sanācija"</t>
  </si>
  <si>
    <t>Aktivitāte "Vides risku samazināšana"</t>
  </si>
  <si>
    <t>Apakšaktivitāte "Plūdu risku samazināšana grūti prognozējamu vižņu-ledus parādību gadījumos"</t>
  </si>
  <si>
    <t>Apakšaktivitāte "Hidrotehnisko būvju rekonstrukcija plūdu draudu risku novēršanai un samazināšanai"</t>
  </si>
  <si>
    <t>Pasākums "Tūrisms"</t>
  </si>
  <si>
    <t>Aktivitāte "Nacionālās nozīmes tūrisma produkta attīstība"</t>
  </si>
  <si>
    <t>Apakšaktivitāte "Valsts nozīmes pilsētbūvniecības pieminekļu saglabāšana, atjaunošana un infrastruktūras pielāgošana tūrisma produkta attīstībai"</t>
  </si>
  <si>
    <t>Apakšaktivitāte "Nacionālās nozīmes velotūrisma produkta attīstība"</t>
  </si>
  <si>
    <t>Apakšaktivitāte "Nacionālās nozīmes kultūras, aktīvā, veselības un rekreatīvā tūrisma produkta attīstība"</t>
  </si>
  <si>
    <t>Aktivitāte "Tūrisma informācijas sistēmas attīstība"</t>
  </si>
  <si>
    <t>Pasākums "Kultūrvides sociālekonomiskā ietekme"</t>
  </si>
  <si>
    <t>Aktivitāte "Nacionālas un reģionālas nozīmes daudzfunkcionālu centru izveide"</t>
  </si>
  <si>
    <t>Aktivitāte "Sociālekonomiski nozīmīgu kultūras mantojuma objektu atjaunošana"</t>
  </si>
  <si>
    <t>Aktivitāte "Atbalsts kultūras pieminekļu privātīpašniekiem kultūras pieminekļu saglabāšanā un to sociālekonomiskā potenciāla efektīvā izmantošanā"</t>
  </si>
  <si>
    <t>Pasākums "Mājokļa energoefektivitāte"</t>
  </si>
  <si>
    <t>Aktivitāte "Daudzdzīvokļu māju siltumnoturības uzlabošanas pasākumi"</t>
  </si>
  <si>
    <r>
      <t>Aktivitāte "Sociālo dzīvojamo māju siltumnoturības uzlabošanas pasākumi"</t>
    </r>
    <r>
      <rPr>
        <vertAlign val="superscript"/>
        <sz val="13"/>
        <rFont val="Times New Roman"/>
        <family val="1"/>
        <charset val="186"/>
      </rPr>
      <t/>
    </r>
  </si>
  <si>
    <t>Prioritāte "Vides infrastruktūras un videi draudzīgas enerģētikas veicināšana"</t>
  </si>
  <si>
    <t>Pasākums "Vides aizsardzības infrastruktūra"</t>
  </si>
  <si>
    <t>Aktivitāte "Ūdenssaimniecības infrastruktūras attīstība aglomerācijās ar cilvēku ekvivalentu lielāku par 2000"</t>
  </si>
  <si>
    <t>Aktivitāte "Reģionālu atkritumu apsaimniekošanas sistēmu attīstība"</t>
  </si>
  <si>
    <t>Apakšaktivitāte "Normatīvo aktu prasībām neatbilstošo izgāztuvju rekultivācija"</t>
  </si>
  <si>
    <t>Apakšaktivitāte "Reģionālu atkritumu apsaimniekošanas sistēmu attīstība"</t>
  </si>
  <si>
    <t>Apakšaktivitāte "Dalītās atkritumu apsaimniekošanas sistēmas attīstība"</t>
  </si>
  <si>
    <t>Aktivitāte "Infrastruktūras izveide Natura 2000 teritorijās"</t>
  </si>
  <si>
    <t>Aktivitāte "Vides monitoringa un kontroles sistēmas attīstība"</t>
  </si>
  <si>
    <t>Pasākums "Enerģētika"</t>
  </si>
  <si>
    <t>Aktivitāte "Pasākumi siltumapgādes sistēmu efektivitātes paaugstināšanai"</t>
  </si>
  <si>
    <t>Apakšaktivitāte "Pasākumi centralizētās siltumapgādes sistēmu efektivitātes paaugstināšanai"</t>
  </si>
  <si>
    <t>Apakšaktivitāte "Pasākumi uzņēmumu siltumapgādes sistēmu efektivitātes paaugstināšanai"</t>
  </si>
  <si>
    <t>Aktivitāte "Atjaunojamo energoresursu izmantojošu koģenerācijas elektrostaciju attīstība"</t>
  </si>
  <si>
    <t>Aktivitāte "Vēja elektrostaciju attīstība"</t>
  </si>
  <si>
    <t>Aktivitāte "Daugavas hidroelektrostaciju aizsprostu pārgāžņu rekonstrukcija"</t>
  </si>
  <si>
    <t>Prioritāte "Policentriska attīstība"</t>
  </si>
  <si>
    <t>Pasākums "Atbalsts ilgtspējīgai pilsētvides un pilsētreģionu attīstībai"</t>
  </si>
  <si>
    <t>Aktivitāte "Nacionālas un reģionālas nozīmes attīstības centru izaugsmes veicināšana līdzsvarotai valsts attīstībai"</t>
  </si>
  <si>
    <t>Aktivitāte "Rīgas pilsētas ilgtspējīga attīstība"</t>
  </si>
  <si>
    <t>Pasākums "Komplekss atbalsts novadu pašvaldību izaugsmes sekmēšanai"</t>
  </si>
  <si>
    <t>Aktivitāte "Atbalsts novadu pašvaldību kompleksai attīstībai"</t>
  </si>
  <si>
    <t>Prioritāte "Tehniskā palīdzība ERAF ieviešanai"</t>
  </si>
  <si>
    <t>Pasākums "Atbalsts darbības programmas "Infrastruktūra un pakalpojumi" vadībai"</t>
  </si>
  <si>
    <t>Prioritāte "Tehniskā palīdzība KF ieviešanai"</t>
  </si>
  <si>
    <t>Pasākums "Atbalsts Kohēzijas fonda vadībai"</t>
  </si>
  <si>
    <r>
      <t>Ministrija</t>
    </r>
    <r>
      <rPr>
        <b/>
        <sz val="13"/>
        <rFont val="Times New Roman"/>
        <family val="1"/>
        <charset val="204"/>
      </rPr>
      <t/>
    </r>
  </si>
  <si>
    <t>1.2.1.1.2.</t>
  </si>
  <si>
    <t>VeM</t>
  </si>
  <si>
    <t>Vkanceleja</t>
  </si>
  <si>
    <t>VARAM</t>
  </si>
  <si>
    <t>Atbildīgo ministriju/ EK/ partneru piedāvātais virssaistību apmērs, LVL</t>
  </si>
  <si>
    <t>augsts pieprasījums, iespējas atbalstīt jauniešu nodarbinātības veicināšanu; AI izteikta nepieciešamība pēc virssaistībām</t>
  </si>
  <si>
    <t>iespējas atbalstīt jauniešu nodarbinātības veicināšanu;AI izteikta nepieciešamība pēc virssaistībām</t>
  </si>
  <si>
    <t>jauniešu bezdarba mazināšana ar subsidētajām darba vietām, netieši sniedzot atbalstu uzņēmējdarbībai; AI izteikta nepieciešamība pēc virssaistībām</t>
  </si>
  <si>
    <t>Liela ieinteresetība no iedzīvotāju puses, tai paša laikā vērsta uz ES 2020 mērķa sasniegšanu. Saskaņā ar Latgales reģiona rīcības plānā 2012.-2013.gadam plānoto; AI izteikta nepieciešamība pēc virssaistībām</t>
  </si>
  <si>
    <t>Publiskais finansējums (SF + VB) atbilstoši apst. MK p/l un not., LVL</t>
  </si>
  <si>
    <t>Nepieciešamo virssaistību summa, ES fondu daļa</t>
  </si>
  <si>
    <t>Ar šo krāsu iekrāsotas tās aktivitātes, kurās būtu paredzamas virssaistību iespējas</t>
  </si>
  <si>
    <t>ES fonda finansējums atbilstoši konceptuāli apst. MK p/l, LVL</t>
  </si>
  <si>
    <t>3. Virssaistību iespējas 2007.-2013.gada plānošanas perioda ES fondu projektos</t>
  </si>
  <si>
    <t>10=9/6</t>
  </si>
  <si>
    <t>Nepieciešamo virssaistību summa, Publiskais finansējums (SF+VB), pēc KDG 23.04.2012. sēdes</t>
  </si>
  <si>
    <t>Pamatojums virssaistību nepieciešamībai vai noraidīšanai</t>
  </si>
  <si>
    <t>Ņemot vērā pozitīvo maksājumu progresu, neatbilstību apjomu un to, ka nav plānots sasniegt DPP noteiktos rādītājus.AI izteikta nepieciešamība pēc virssaistībām.</t>
  </si>
  <si>
    <t>Eiro projekta ieviešanai</t>
  </si>
  <si>
    <t>Saskaņā ar Latgales reģiona rīcības plānā 2012.-2013.gadam plānoto. Papildus finansējums paredzēts 6 Latgales reģiona novada pašvaldībām  papildus projektu īstenošanai, kas veicinās saimnieciskās darbības teritoriju attīstību. Balvi, Krāslava, Ludza, Preiļi, Daugavpils, Rēzekne (novadi).</t>
  </si>
  <si>
    <t>Ņemot vērā, ka maksājumu progress ir pozitīvi vērtējams, taču  neatbilstību apjoms ir salīdzinoši liels. AI izteikta nepieciešamība pēc virssaistībām. Atbilstoši Demogrāfijas padomes lēmumam  finansējums bērnudārzu celtniecībai ir noteikta kā prioritāte.</t>
  </si>
  <si>
    <t>Nepieciešamība Latvijai nodrošināt direktīvu izpildi gaisa monitoringa pasākumu veikšanai (piesārņojuma integrēta novērtēšana un kontrole).</t>
  </si>
  <si>
    <t>Provizoriski papildus nepieciešamais pašvadlību finansējums, LVL</t>
  </si>
  <si>
    <t>IV cet.</t>
  </si>
  <si>
    <t>Gala cipars saskaņots ar AI - jā/nē</t>
  </si>
  <si>
    <t>1.kārtas projekti beidzas 2012.gadā, nepieciešams turpinājums 2013-2014.gadā, augsts  pieprasījums, lai veidotu jaunas darba vietas jaunajiem zinātniekiem un lai sasniegtu DPP noteiktos rezultāta rādītājus; nākamo kārtu plānots izsludināt 07.2012., projektus apstiprināt 2012.g. rudenī</t>
  </si>
  <si>
    <t xml:space="preserve">AI izteikta nepieciešamība pēc virssaistībām, augsts  pieprasījums; virssaistības 4,3 milj. saskaņā ar jauniešu bezdarba mazināšanas rīcības plānu, saņemts EK atbalsts papildu finansējuma piešķiršanai; virssaistību apguve jau sākot ar 2012.g. rudeni, uzņemot lielāku audzēkņu skaitu 1-1,5 gadīgajās programmās, iesaistot bezdarbniekus ar zemu izglītības līmeni </t>
  </si>
  <si>
    <t>Papildu finansējums 2 milj. LVL saskaņā ar jauniešu bezdarba mazināšanas rīcības plānu, saņemts EK atbalsta pasākuma īstenošanai; AI izteikta nepieciešamība pēc virssaistībām, projektu plānots apstiprināt 2012.gadā, karjeras izglītības pasākumu ieviešana sākot ar 2013.gadu</t>
  </si>
  <si>
    <t>Virssaistības jau ir piešķirtas 5 341 209 LVL 1.kārtas īstenošanai; papildus virssaistības 8,5 milj. LVL 2.kārtas īstenošanai, saskaņā ar Latgales rīcības plānu; AI izteikta nepieciešamība pēc virssaistībām</t>
  </si>
  <si>
    <t>VARAM piedāvājums uzņemties virssaistības nav atbalstāms, ņemot vērā nepieciešamību esošajā ekonomiskajā situācijā primāri atbalstīt pasākumu īstenošanu (nodarbinātības paaugstināšana, t.sk. jauniešu nodarbinātība), kas tiešā veidā veicina tautsaimniecības attīstību</t>
  </si>
  <si>
    <t>Lai nodrošinātu vienlīdzīgu pakalpojuma pieejamību visiem iedzīvotājiem, ir nepieciešams veidot jaunus neatliekamās medicīniskās palīdzības punktus un atjaunot neatliekamās medicīniskās palīdzības mašīnu parku. Neatliekamās medicīniskās palīdzības pieejamības uzlabošana kā uzdevums iekļauts Latvijas Stratēģiskās attīstības plānā 2010.–2013.gadam un Latvijas Nacionālajā attīstības plānā 2007-2013.</t>
  </si>
  <si>
    <t xml:space="preserve">1.3.2.3.aktivitātei augsta pieprasījuma dēļ nepieciešams nodrošināt papildus finansējumu aktivitātes ieviešanai 2013.-2015.gadā. Sākotnēji aktivitātei piešķirtais finansējums, kas tika samazināts 2010.gadā, bija 16 205 833 LVL. Problēma ar aktivitātes rādītāju ir atrisināta un problēma ar sertifikātu izsniegšanu ir daļēji atrisināta. Papildus šīs problēmas neietekmē aktivitātes turpmāko ieviešanu, jo liels pieprasījums no ārstniecības iestādēm un speciālistiem ir apmācībās, kur nebija problēmu ar sertifikātiem. Kas attiecas uz aktivitātes rezultātiem, tad tieši finansējuma samazināšana aktivitātei ietekmēja rādītāju izpildi un virssaistību piešķiršana viennozīmīgi uzlabotu rādītāju vērtības. Ārstu kvalifikācijas līmenis ietekmē nozares kopējo attīstību un veselības aprūpes pakalpojumu sniegšanu, kam ir nozīmīga ietekmē uz IKP un valsts izaugsmi.  </t>
  </si>
  <si>
    <t xml:space="preserve">1) Ieguldījums tautsaimniecības attīstībā, sekmējot pētniecības rezultātu komercializāciju un privātā sektora finansējuma piesaisti pētniecībai;
2) Augsts pieprasījums un nepieciešamība pēc finanšu atbalsta komercpētniecības infrastruktūras attīstībai, kur atklātās atlases ietvaros ar pieejamo finansējumu 46,3 milj LVL tika iesniegti projekti par 103 milj LVL . 
3) Šobrīd aktivitātē ir atlikums 13 milj LVL, ar virssaistībām 5 milj LVL kopējais 3.kārtai (komercpētniecības infrastruktūrai) pieejamais finansējums sastāda 18 milj LVL
4) Finansējuma neapguves risks 2.1.prioritātē "Zinātne un inovācijas" (IZM š.g. 18.aprīļa vēstule Nr. 01/10-1682)
</t>
  </si>
  <si>
    <t>2.3.2.2.2.</t>
  </si>
  <si>
    <t>Apakšaktivitāte "Atbalsts ieguldījumiem ražošanas telpu izveidei vai rekonstrukcijai"</t>
  </si>
  <si>
    <r>
      <t xml:space="preserve">1) Virssaistības 15 milj LVL nepieciešamas, lai atbalstītu </t>
    </r>
    <r>
      <rPr>
        <b/>
        <sz val="12"/>
        <rFont val="Times New Roman"/>
        <family val="1"/>
        <charset val="186"/>
      </rPr>
      <t xml:space="preserve">komersantu interesēs veiktus </t>
    </r>
    <r>
      <rPr>
        <sz val="12"/>
        <rFont val="Times New Roman"/>
        <family val="1"/>
        <charset val="204"/>
      </rPr>
      <t xml:space="preserve">praktiskas ievirzes pētniecības projektus, kas nepieciešami tehnoloģiju pārnesei un ieguldījumiem tautsaimniecības attīstībā;
2) Augsts pieprasījums pēc finanšu atbalsta, jo 1.kārtas projekti beidzas 2013.g sākumā, nepieciešams turpinājums 2013-2015.g., svarīgi nodrošināt  pēctecību periodā no 2013.gada līdz nākamajam plānošanas perioda uzsākumam;
3) 1.kārtā apstiprinātie 122 projekti nesasniedz DPP noteikto iznākuma un rezultāta rādītājus;
4) Šobrīd aktivitātē ir atlikums 3 milj LVL, ar virssaistībām 15 milj LVL kopējais 18 milj LVL finansējums  dotu iespēju papildu apstiprināt aptuveni 51 projektu: 51 projekts x 350 000 LVL ir aptuveni 18 000 000 LVL;       
5) Finansējuma neapguves risks 2.1.prioritātē "Zinātne un inovācijas" (IZM š.g. 18.aprīļa vēstule Nr. 01/10-1682)
</t>
    </r>
  </si>
  <si>
    <t>EM piedāvājums uzņemties virssaistības nav atbalstāms, ņemot vērā, ka daļas finansējuma saņēmēju projekta īstenošanas progress ir neapmierinošs un jau šobrīd tiek veikti grozījumi aktivitātes MK noteikumos, veicot iekšēju finansējuma pārdali projektiem ar apmierinošu īstenošanas progresu. Turklāt komersantu interese aktivitātes ietvaros veicināt jauniešu nodarbinātību ir nepietiekama.</t>
  </si>
  <si>
    <t>1) Virssaistību mērķis ir veicināt  EK iniciatīvas par jauniešu nodarbinātību ieviešanu, kā arī lai nodrošinātu profesionālās izglītības iestāžu tīkla optimizācijas pabeigšanu līdz 2015.gadam atbilstoši valdībā nolemtajam. 2) Papildu finansējums nepieciešams arī rīcības plāna Latgalei ieviešanai, lai nodrošinātu pietiekamu atbalstu Latgalē esošo skolu infrastruktūras sakārtošanai. 3) Saņemts EK atbalsts papildu finansējuma piešķiršanai. 4) Aktivitātes ietvaros ir augsts neatbilstību līmenis, kas var palielināties nākamjos gados, turklāt rādītāji nav sasniegti. AI izteikta nepieciešamība pēc virssaistībām.</t>
  </si>
  <si>
    <t>Ņemot vērā ceļu nozares nozīmību un saskaņā ar MK 23.11.2010. sēdes protokollēmumu Nr.67 1.§ FM jānodrošina papildu finansējums ceļu infrastruktūras sakārtošanai; AI izteikta nepieciešamība pēc virssaistībām</t>
  </si>
  <si>
    <t>Neatbalstām Vides aizsardzības un reģionālās attīstības ministrijas priekšlikumu palielināt virssaistību apjomu par 33 331 756 latiem, ņemot vērā, ka saskaņā ar Latgales reģiona rīcības plānā 2012.-2030.gadam plānoto virssaistības paredzētas tikai 3 Latgales reģiona pašvaldībām papildu projektu īstenošanai. Vienlaikus norādām, ka 3.6.prioritātē plānotais virssaistību apjoms sasniedz 15%. Šobrīd nav pamata apgalvot, ka 3.6.prioritātes projektu ietvaros varētu rasties neatbilstības vai tiktu pārtraukta projektu īstenošana tādos apmēros, lai nosegtu virssaistības pieprasītajā apjomā</t>
  </si>
  <si>
    <t xml:space="preserve">Rezerve ietaupījumiem 10% no neapstiprināto projektu summas.  Apakšaktivitātes ietvaros vēl jārekultivē 50 atkritumu izgāztuves, tai skaitā Rīgas pilsētā (Kleisti, Deglava iela), kur rekultivējamā platība sastāda gandrīz 50% no apakšaktivitātes ietvaros vēl rekultivējāmās platības, kas var apdraudēt atlikušo sadzīves atkritumu izgāztuvju rekultivāciju. </t>
  </si>
  <si>
    <t>Ņemot vērā ceļu nozares prioritāti un saskaņā ar MK 23.11.2010. sēdēs protokollēmumu Nr.67 1.§ FM jānodrošina papildu finansējums ceļu infrastruktūras sakārtošanai; AI izteikta nepieciešamība pēc virssaistībām.</t>
  </si>
  <si>
    <t>Kopā 2012-2015</t>
  </si>
  <si>
    <t>VM</t>
  </si>
  <si>
    <t>Saskaņā ar no EM saņemto informāciju, apakšaktivitātes ietvaros jau piešķirtās virssaistības 3 402 311 latu apmērā vairs nav nepieciešamas, līdz ar to EM ierosina minēto virssaistību apjomu pārdalīt 2.1.2.4.aktivitātes "Augstas pievienotās vērtības investīcijas" virssaistībām.</t>
  </si>
  <si>
    <r>
      <t xml:space="preserve">1. Saskaņā ar Latgales reģiona rīcības plānā 2012. – 2013.gadam paredzēto apakšaktivitātes īstenošanai ir piešķirts finansējums 6 000 000 latu apmērā, pārdalot neapgūto finansējumu no 2.3.2.2.aktivitātes "Atbalsts ieguldījumiem mikro, maziem un vidējiem komersantiem īpaši atbalstāmajās teritorijās (ĪAT)" (pēc EM precizētās informācijas - neapgūtā finansējuma apjoms jau ir sasniedzis 6 200 000 latu).                            2. Apakšaktivitātes ietvaros tiks veicināta nodarbinātība reģionos, mazinātas reģionālās attīstības atšķirības, kā arī izveidota atbilstoša infrastruktūras apstrādes rūpniecības uzņēmumu izveidei.
</t>
    </r>
    <r>
      <rPr>
        <b/>
        <sz val="13"/>
        <rFont val="Times New Roman"/>
        <family val="1"/>
        <charset val="186"/>
      </rPr>
      <t xml:space="preserve">     </t>
    </r>
  </si>
  <si>
    <t xml:space="preserve">1. Jau ir virssaistības 13 086 882 latu apmērā.                                                                      2. VI piekrīt papildus virssaistībām 9 969 442 LVL apmērā, tai skaitā, 6 567 131 LVL apmērā (atbilstoši KDG 23.aprīļa sēdē nolemtajam)  un    3 402 311  LVL apmērā (virssaistības, kas vairs nav nepieciešamas 2.1.2.2.2.apakšaktivitātes „Jaunu produktu un tehnoloģiju izstrāde-atbalsts jaunu produktu un tehnoloģiju ieviešanai ražošanā” ietvaros).
3. Augsts noraidīto un pārtraukto projektu apjoms. Pašlaik notiek projektu pieteikumu vērtēšana. Pieteikts 51 projekts, ERAF pieprasījums 82 milj.LVL. Ar papildus viristībām būtu iespējams nofinansēt vairāk kā pusi no iesniegto projekttu pieteikumu, kuru ietvaros izveido jaunas darba vietas ar augstu pievienoto vērtību. 
</t>
  </si>
  <si>
    <t>Ministrijas piedāvājums pēc KDG 23.04.2012. sēdes</t>
  </si>
  <si>
    <t>Nepieciešamo virssaistību summa, Publiskais finansējums (SF+VB)</t>
  </si>
  <si>
    <t>Noslēgto līgumu apjoms</t>
  </si>
  <si>
    <t>Izglītības un zinātnes ministrija</t>
  </si>
  <si>
    <t>Vides aizsardzības un reģionālās attīstības ministrija</t>
  </si>
  <si>
    <t>Satiksmes ministrija</t>
  </si>
  <si>
    <t>Ekonomikas ministrija</t>
  </si>
  <si>
    <t>Labklājības ministrija</t>
  </si>
  <si>
    <t>Veselības ministrija</t>
  </si>
  <si>
    <t>Kultūras ministrija</t>
  </si>
  <si>
    <t>Virssaistību līgumu plāns ceturksnī</t>
  </si>
  <si>
    <t>2.1.2.4.*</t>
  </si>
  <si>
    <t>Apakšaktivitāti "Infrastruktūras pilnveidošana sociālās rehabilitācijas pakalpojumu sniegšanai personām ar garīga rakstura traucējumiem"</t>
  </si>
  <si>
    <t>Noslēgtie līgumi  līdz II cet.</t>
  </si>
  <si>
    <t>Komentāri/piezīmes</t>
  </si>
  <si>
    <t>Šobrīd aktivitātes ietvaros ir noslēgti līgumi par visu pieejamo finansējumu (3 000 000 LVL ESF + 1 544 126 LVL virssaistības) Notiek projektu īstenošana.</t>
  </si>
  <si>
    <t>Sadarbības līgumu ar Rīgas domi par projekta īstenošanu planots noslēgt 2013.gada 4.ceturksnī</t>
  </si>
  <si>
    <t>Virssaistību apjoms samazināts par konstaēto neatbilstību summu 144 023,20 Ls apmērā. Sadarbības lgumu grozījumus par projektu īstenošanu ar VAS "Latvijas Valsts ceļi" plānots noslēgt 2013.gada 4.ceturksnī.</t>
  </si>
  <si>
    <t>Precizēta informācija atbilstoši plānotajai virssaistību finansējuma apguvei 2013.gadā.</t>
  </si>
  <si>
    <t>2013.gada 16.septembrī noslēdzās projektu iesniegumu iesniegšana piektās projektu iesniegumu atlases kārtas ietvaros. Notiek projektu iesniegumu vērtēšana. Līdz ar to, līgumu slēgšana par projektu īstenošanu plānota 2014.gada 1.ceturksnī.</t>
  </si>
  <si>
    <t>Jauna projektu iesniegumu atlases kārta 2013.gadā netiek plānota.</t>
  </si>
  <si>
    <t>Vienošanās par projektu īstenošanu virssaistību finansējums 1 194 461 LVL apmērā iekļauts 2013.gada 1.ceturksnī un 325 000 LVL apmērā 2013.gada 3.ceturksnī. Kolona "Kopā 2012-2015" koriģēta, lai novērstu 2013.gadā noslēgto līgumu divkāršu ieskaitīšanu kopsummā.</t>
  </si>
  <si>
    <t>Virssaistību finansējums plānots saskaņā ar MK 30.07.2013. sēdes lēmumu (protokols Nr.41 64.§ 2.1.apakšpunkts). 
Projekta grozījumi, kas paredz virssaistību finansējumu valsts sociālās aprūpes centra "Rīga" īstenotajā projektā, šobrīd ir saskaņošanas procesā.</t>
  </si>
  <si>
    <t>Plānots, ka 1.1.1.2.aktivitātes MK noteikumu grozījumi stāsies spēkā š.g.oktobra mēnesī. Plānojot ņemts vērā laiks, kas nepieciešams papildu apstiprināmo projektu nosacījumu izpildei, kā arī vienošanās par projektu īstenošanu noslēgšanai.</t>
  </si>
  <si>
    <t>Precizēts 6.kolonnā "Noslēgtie līgumi līdz II cet." norādītais virssaistību finansējums atbilstoši faktam, tai skaitā 1.2.1.1.3.apakšaktivitātes 2.kārtas MK noteikumos noteiktajam.</t>
  </si>
  <si>
    <t>Plānots, ka 1.2.1.1.4.apakšaktivitātes MK noteikumu grozījumi stāsies spēkā š.g.oktobrī, tādējādi, projekta vienošanās grozījumus pieejamā virssaistību finansējuma piesaistei projektā plānots veikt š.g. IV cet.</t>
  </si>
  <si>
    <t>Virssaistību finansējumu paredzēts piesaistīt 2.1.1.1.aktivitātes projektu iesniegumu trešās atlases kārtas ietvaros.</t>
  </si>
  <si>
    <t>Precizēts atbilstoši MK 22.01.2013. protokollēmuma (prot. Nr.5, 24.paragr.) 4.punktā noteiktajam, t.i., ka jānodrošina līgumu un vienošanos par projektu īstenošanu slēgšanu līdz 31.12.2013..</t>
  </si>
  <si>
    <t>Pārbaude</t>
  </si>
  <si>
    <t>Ir noslēgts līgums par 7 999 059, virssasitību atlikums ir 941 Ls, jaunas atlases kārtas nav plānotās.</t>
  </si>
  <si>
    <t>līgums par projektu īstenošanu par 3 895 167 ir noslēgts l0.10.2013. Par virssaistību atlikumu Ls 104 833 ir izsludināta projektu 4. atlases kārta, pieteikumu iesniegšanas termiņš 17.10.2013. līgumu plānots slēgt 2014. gada 1.cet.</t>
  </si>
  <si>
    <t xml:space="preserve">
Aktivitātē brīvais finansējums  2 398 013,12 LVL (1 916 063 LVL ESF un 481 950 LVL virssaistības) ir paredzēt  projektiem, kuriem ir nepieciešams finansējums papildu apmācību veikšanai.</t>
  </si>
  <si>
    <t xml:space="preserve"> Virssaistību finansējums 666 918 LVL apmērā 2014.gadam plānots saskaņā ar MK 18.06.2013. sēdes lēmumu (protokols Nr.35 55.§) un MK 20.08.2013. sēdes lēmumu (protokols Nr.45 97.§ 10.1.apakšpunkts). Virssaistību finansējumu plānots izmantot, ja AS "Liepājas metalurgs" tiesiskās aizsardzības vai maksātnespējas procesa ietvararos notiek darbinieku atlaišana. Ja minētā situācija neiestāsies, LM sniegs priekšlikumu par finansējuma pārdali citai ES fondu aktivitātei vai šis aktivitātes (1.3.1.1.3.apakšaktivitāte) atbalstāmo darbību īstenošanai. </t>
  </si>
  <si>
    <t xml:space="preserve">Virssaistību finansējums 622 893 LVL apmērā 2014.gadam plānots saskaņā ar MK 20.08.2013. sēdes lēmumu (protokols Nr.45 97.§ 10.3.apakšpunkts). 
Virssaistību finansējuma izlietojuma plāns noslēgto līgumu un vienošanās par projektu īstenošanu apjomam ietver tikai attiecināmo saistību apjomu. MK noteikumu līmenī jārisina jautājums par 22 824 LVL novirzīšanai neattiecināmo izmaksu segšanai - projekta administrēšanas personāla atlīdzībai - sakarā ar projekta termiņa pagarināšanu līdz 2014.gada beigām.
</t>
  </si>
  <si>
    <t xml:space="preserve">Virssaistību finansējums 7 009 239 LVL apmērā iekļauts aktivitātes pirmās kārtas projektā, kurš ir noslēdzies 2011.gadā. Vienošanās par 2. kārtas projektu īstenošanu virssaistību finansējums 8 544 140 LVL apmērā iekļauts 2012.gada 3.ceturksnī. Virssaistību finansējums 2.kārtas projektam 2014.gadā 3 181 575 LVL apmērā plānots saskaņā ar MK 20.08.2013. sēdes lēmumu (protokols Nr.45 97.§ 10.3.apakšpunkts). 
Virssaistību finansējuma izlietojuma plāns noslēgto līgumu un vienošanās par projektu īstenošanu apjomam ietver tikai attiecināmo saistību apjomu. MK noteikumu līmenī jārisina jautājums par 54 870 LVL novirzīšanai neattiecināmo izmaksu segšanai - projekta administrēšanas personāla atlīdzībai - sakarā ar projekta termiņa pagarināšanu līdz 2014.gada beigām.
</t>
  </si>
  <si>
    <t>n/a</t>
  </si>
  <si>
    <r>
      <t xml:space="preserve">Vienošanās par projektu īstenošanu virssaistību finansējums 930 710 LVL apmērā iekļauts 2013.gada 1.ceturksnī. Virssaistību finansējums 2014.gadā 873 214 LVL apmērā plānots saskaņā ar MK 18.06.2013. sēdes lēmumu (protokols Nr.35 55.§) un MK 20.08.2013. sēdes lēmumu (protokols Nr.45 97.§ 10.1. un </t>
    </r>
    <r>
      <rPr>
        <sz val="13"/>
        <rFont val="Times New Roman"/>
        <family val="1"/>
        <charset val="186"/>
      </rPr>
      <t>10.3.apakšpunkts). Virssaistību finansējuma daļu (173</t>
    </r>
    <r>
      <rPr>
        <sz val="13"/>
        <color theme="1"/>
        <rFont val="Times New Roman"/>
        <family val="1"/>
        <charset val="186"/>
      </rPr>
      <t xml:space="preserve"> 214 LVL) plānots izmantot, ja AS "Liepājas metalurgs" tiesiskās aizsardzības vai maksātnespējas procesa ietvaros notiek darbinieku atlaišana. Ja minētā situācija neiestāsies, LM sniegs priekšlikumu par finansējuma pārdali citai ES fondu aktivitātei vai šīs aktivitātes (1.4.1.1.2.apakšaktivitāte) atbalstāmo darbību īstenošanai. 
</t>
    </r>
  </si>
  <si>
    <t>7.1</t>
  </si>
  <si>
    <t>Salīdzinājums ar iepriekš apstiprināto plānu III cet.   - plāns</t>
  </si>
  <si>
    <t>7.2</t>
  </si>
  <si>
    <t xml:space="preserve">Noslēgto līgumu apjoms (INDIKATĪVI) līdz 2012.gada beigām </t>
  </si>
  <si>
    <t>Finanšu apguves mērķa sasniegšana 2013.gada mēnešiem / Target profile implementation 2013</t>
  </si>
  <si>
    <t>2013.gada AI mērķis / Target for 2013</t>
  </si>
  <si>
    <t>Izmaksāts  finansējuma saņēmējam 
(ES fondu fin.), LVL uz 31.12.12.</t>
  </si>
  <si>
    <t>AI mērķis 01.01.2013 - 28.02.2013. / Target for  01.01.2013 - 28.02.2013</t>
  </si>
  <si>
    <t>Izmaksāts  finansējuma saņēmējam 
(ES fondu fin.), LVL uz 28.02.2013.</t>
  </si>
  <si>
    <t xml:space="preserve">Faktiski maksājumi FS 01.01.2013 - 28.02.2013. / Payments to FB  01.01.2013 - 28.02.2013. </t>
  </si>
  <si>
    <t>2013.gada AI mērķa izpilde / Reaching the target for 2013 uz 28.02.2013.</t>
  </si>
  <si>
    <t>AI mērķa izpilde 01.01.2013 - 28.02.2013 / Reaching the target for 01.01.2013 - 28.02.2013</t>
  </si>
  <si>
    <t>AI mērķis 01.01.2013 - 31.03.2013. / Target for  01.01.2013 - 31.03.2013</t>
  </si>
  <si>
    <t>Izmaksāts  finansējuma saņēmējam 
(ES fondu fin.), LVL uz 31.03.2013.</t>
  </si>
  <si>
    <t xml:space="preserve">Faktiski maksājumi FS 01.01.2013 - 31.03.2013. / Payments to FB  01.01.2013 - 31.03.2013. </t>
  </si>
  <si>
    <t>2013.gada AI mērķa izpilde / Reaching the target for 2013</t>
  </si>
  <si>
    <t>AI mērķa izpilde 01.01.2013 - 31.03.2013 / Reaching the target for 01.01.2013 - 31.03.2013</t>
  </si>
  <si>
    <t>AI mērķis 01.01.2013 - 30.04.2013. / Target for  01.01.2013 - 30.04.2013</t>
  </si>
  <si>
    <t>Izmaksāts  finansējuma saņēmējam 
(ES fondu fin.), LVL uz 30.04.2013.</t>
  </si>
  <si>
    <t xml:space="preserve">Faktiski maksājumi FS 01.01.2013 - 30.04.2013. / Payments to FB  01.01.2013 - 30.04.2013. </t>
  </si>
  <si>
    <t>AI mērķa izpilde 01.01.2013 - 30.04.2013 / Reaching the target for 01.01.2013 - 30.04.2013</t>
  </si>
  <si>
    <t>AI mērķis 01.01.2013 - 31.05.2013. / Target for  01.01.2013 - 31.05.2013</t>
  </si>
  <si>
    <t>Izmaksāts  finansējuma saņēmējam 
(ES fondu fin.), LVL uz 31.05.2013.</t>
  </si>
  <si>
    <t xml:space="preserve">Faktiski maksājumi FS 01.01.2013 - 31.05.2013. / Payments to FB  01.01.2013 - 31.05.2013. </t>
  </si>
  <si>
    <t>AI mērķa izpilde 01.01.2013 - 31.05.2013 / Reaching the target for 01.01.2013 - 31.05.2013</t>
  </si>
  <si>
    <t>AI mērķis 01.01.2013 - 30.06.2013. / Target for  01.01.2013 - 30.06.2013</t>
  </si>
  <si>
    <t>Izmaksāts  finansējuma saņēmējam (ES fondu fin.), LVL uz 30.06.2013.</t>
  </si>
  <si>
    <t xml:space="preserve">Faktiski maksājumi FS 01.01.2013 - 30.06.2013. / Payments to FB  01.01.2013 - 30.06.2013. </t>
  </si>
  <si>
    <t>AI mērķa izpilde 01.01.2013 - 30.06.2013 / Reaching the target for 01.01.2013 - 30.06.2013</t>
  </si>
  <si>
    <t>AI mērķis 01.01.2013 - 31.07.2013. / Target for  01.01.2013 - 31.07.2013</t>
  </si>
  <si>
    <t>Izmaksāts  finansējuma saņēmējam (ES fondu fin.), LVL uz 31.07.2013.</t>
  </si>
  <si>
    <t xml:space="preserve">Faktiski maksājumi FS 01.01.2013 - 31.07.2013. / Payments to FB  01.01.2013 - 31.07.2013. </t>
  </si>
  <si>
    <t>AI mērķa izpilde 01.01.2013 - 31.07.2013 / Reaching the target for 01.01.2013 - 31.07.2013</t>
  </si>
  <si>
    <t>AI mērķis 01.01.2013 - 31.08.2013. / Target for  01.01.2013 - 31.08.2013</t>
  </si>
  <si>
    <t>Izmaksāts  finansējuma saņēmējam (ES fondu fin.), LVL uz 31.08.2013.</t>
  </si>
  <si>
    <t xml:space="preserve">Faktiski maksājumi FS 01.01.2013 - 31.08.2013. / Payments to FB  01.01.2013 - 31.08.2013. </t>
  </si>
  <si>
    <t>AI mērķa izpilde 01.01.2013 - 31.08.2013 / Reaching the target for 01.01.2013 - 31.08.2013</t>
  </si>
  <si>
    <t>AI mērķa neizpilde uz 31.08.2013. (neizpildes ir ar mīnus zīmi)</t>
  </si>
  <si>
    <t>AI mērķis 01.01.2013 - 30.09.2013. / Target for  01.01.2013 - 30.09.2013</t>
  </si>
  <si>
    <t>Izmaksāts  finansējuma saņēmējam (ES fondu fin.), LVL uz 30.09.2013.</t>
  </si>
  <si>
    <t xml:space="preserve">Faktiski maksājumi FS 01.01.2013 - 30.09.2013. / Payments to FB  01.01.2013 - 30.09.2013. </t>
  </si>
  <si>
    <t>AI mērķa izpilde 01.01.2013 - 30.09.2013 / Reaching the target for 01.01.2013 - 30.09.2013</t>
  </si>
  <si>
    <t>AI mērķis 01.01.2013 - 31.10.2013. / Target for  01.01.2013 - 31.10.2013</t>
  </si>
  <si>
    <t>Izmaksāts  finansējuma saņēmējam (ES fondu fin.), LVL uz 31.10.2013.</t>
  </si>
  <si>
    <t xml:space="preserve">Faktiski maksājumi FS 01.01.2013 - 31.10.2013. / Payments to FB  01.01.2013 - 31.10.2013. </t>
  </si>
  <si>
    <t>AI mērķa izpilde 01.01.2013 - 31.10.2013 / Reaching the target for 01.01.2013 - 31.10.2013</t>
  </si>
  <si>
    <t>AI mērķis 01.01.2013 - 30.11.2013. / Target for  01.01.2013 - 30.11.2013</t>
  </si>
  <si>
    <t>Izmaksāts  finansējuma saņēmējam (ES fondu fin.), LVL uz 30.11.2013.</t>
  </si>
  <si>
    <t xml:space="preserve">Faktiski maksājumi FS 01.01.2013 - 30.11.2013. / Payments to FB  01.01.2013 - 30.11.2013. </t>
  </si>
  <si>
    <t>AI mērķa izpilde 01.01.2013 - 30.11.2013 / Reaching the target for 01.01.2013 - 30.11.2013</t>
  </si>
  <si>
    <t>Izmaksāts  finansējuma saņēmējam (ES fondu fin.), LVL uz 31.12.2013.</t>
  </si>
  <si>
    <t>Faktiski maksājumi FS 2013.gadā / Payments to FB in 2013</t>
  </si>
  <si>
    <t>5=4/3</t>
  </si>
  <si>
    <t>8=7/6</t>
  </si>
  <si>
    <t>11=10/9</t>
  </si>
  <si>
    <t>14=13/12</t>
  </si>
  <si>
    <t>17=16/15</t>
  </si>
  <si>
    <t>26=25/24</t>
  </si>
  <si>
    <t>29=28/27</t>
  </si>
  <si>
    <t>32=31/30</t>
  </si>
  <si>
    <t>35=34/2</t>
  </si>
  <si>
    <t>Februāris</t>
  </si>
  <si>
    <t>Marts</t>
  </si>
  <si>
    <t>Aprīlis</t>
  </si>
  <si>
    <t>Maijs</t>
  </si>
  <si>
    <t>Jūnijs</t>
  </si>
  <si>
    <t>Jūlijs</t>
  </si>
  <si>
    <t>Augusts</t>
  </si>
  <si>
    <t>Septembris</t>
  </si>
  <si>
    <t>Oktobris</t>
  </si>
  <si>
    <t>Novembris</t>
  </si>
  <si>
    <t>Decembris</t>
  </si>
  <si>
    <t>4=3/1</t>
  </si>
  <si>
    <t>5=3/2</t>
  </si>
  <si>
    <t>Eiropas Sociālais fonds / European Social Fund</t>
  </si>
  <si>
    <t xml:space="preserve">EM / MoE </t>
  </si>
  <si>
    <t>FM / MoF</t>
  </si>
  <si>
    <t>IZM / MoES</t>
  </si>
  <si>
    <t>LM / MoW</t>
  </si>
  <si>
    <t>VARAM / MoEPRD</t>
  </si>
  <si>
    <t xml:space="preserve">VeM / MoH </t>
  </si>
  <si>
    <t>Valsts Kanceleja / State Chancellery</t>
  </si>
  <si>
    <t>Eiropas Reģionālās attīstības fonds / European Regional Development Fund</t>
  </si>
  <si>
    <t xml:space="preserve">IZM / MoES </t>
  </si>
  <si>
    <t>KM / MoC</t>
  </si>
  <si>
    <t>SaM / MoT</t>
  </si>
  <si>
    <t>VeM / MoH</t>
  </si>
  <si>
    <t>Kohēzijas fonds / Cohesion Fund</t>
  </si>
  <si>
    <t xml:space="preserve"> Kopā / Total:</t>
  </si>
  <si>
    <t>Summary by ministries</t>
  </si>
  <si>
    <t>Total:</t>
  </si>
  <si>
    <t>AI mērķa neizpilde uz 31.09.2013. (neizpildes ir ar mīnus zīmi)</t>
  </si>
  <si>
    <t>AI maksājumu mērķa neizpilde (konkrētā fonda)/neizpilde ar mīnus zīmi</t>
  </si>
  <si>
    <t>Kopējā plānu neizpilde</t>
  </si>
  <si>
    <t>Līguma plānu neizpilde III ceturksnī</t>
  </si>
  <si>
    <t>Faktiski noslēgie līgumi III cet. (AI informācija)</t>
  </si>
  <si>
    <t>Virssaistības samazinātas 20.08.2013.</t>
  </si>
  <si>
    <t>6.1</t>
  </si>
  <si>
    <t>8.1</t>
  </si>
  <si>
    <t>9</t>
  </si>
  <si>
    <t>10</t>
  </si>
  <si>
    <t xml:space="preserve">Plāns III cet.  </t>
  </si>
  <si>
    <t xml:space="preserve">Saskaņā ar MK 17.09.2013. protokollemuma Nr.49 84.§ 2.punktu ir atbalstīta finase'juma pārdale 3.2.1.3.2.apakšaktivitātei "Satiksmes drošības uzlabojumi Rīgā" no Satiksmes ministrijas pārziņā esošās 3.2.1.2.aktivitātes "Tranzītielu sakārtošana pilsētu teritorijās" virssaistību finansējuma 679 237 latu apmērā. Virssaistību apjoms samazināts par konstaēto neatbilstību summu 264 014,03 Ls apmērā.
Lai nodrošinātu nepieciešamos finanšu līdzekļus 3.3.1.3.aktivtātes projekta „Liepājas ostas padziļināšana” īstenošanai, Satiksmes ministrija  22.10.2013 MK sēdē ir ierosinājusi papildu Eiropas Savienības fondu finansējuma piešķiršanu 3.3.1.3.aktivitātei  683 417 latu apmērā no 3.2.1.2.aktivitātes virssaistību KF finanšu līdzekļiem, attiecīgi virssaistību summa samazināsies uz 20 616 189 latiem. </t>
  </si>
  <si>
    <t>1.</t>
  </si>
  <si>
    <t>Cilvēkresursi un nodarbinātība</t>
  </si>
  <si>
    <t>Augstākā izglītība un zinātne</t>
  </si>
  <si>
    <t>Izglītība un prasmes</t>
  </si>
  <si>
    <t>1.3.</t>
  </si>
  <si>
    <t>Nodarbinātības veicināšana un veselība darbā</t>
  </si>
  <si>
    <t>Sociālās iekļaušanas veicināšana</t>
  </si>
  <si>
    <t>Administratīvās kapacitātes stiprināšana</t>
  </si>
  <si>
    <t>Tehniskā palīdzība</t>
  </si>
  <si>
    <t>2.</t>
  </si>
  <si>
    <t>Uzņēmējdarbība un inovācijas</t>
  </si>
  <si>
    <t>Zinātne un inovācijas</t>
  </si>
  <si>
    <t>Finanšu pieejamība</t>
  </si>
  <si>
    <t>Uzņēmējdarbības veicināšana</t>
  </si>
  <si>
    <t>Infrastruktūra un pakalpojumi</t>
  </si>
  <si>
    <t>Infrastruktūra cilvēku kapitāla nostiprināšanai</t>
  </si>
  <si>
    <t>Teritoriju pieejamības un sasniedzamības veicināšana</t>
  </si>
  <si>
    <t>Eiropas nozīmes transporta tīklu attīstība un ilgtspējīga transporta veicināšana</t>
  </si>
  <si>
    <t>Kvalitatīvas vides dzīvei un ekonomiskai aktivitātei nodrošināšana</t>
  </si>
  <si>
    <t>Vides infrastruktūras un videi draudzīgas enerģētikas veicināšana</t>
  </si>
  <si>
    <t>Policentriska attīstība</t>
  </si>
  <si>
    <t>Tehniskā palīdzība ERAF ieviešanai</t>
  </si>
  <si>
    <t>Tehniskā palīdzība KF ieviešanai</t>
  </si>
  <si>
    <t>Piešķirtais virssaistību apjoms, LVL</t>
  </si>
  <si>
    <t>KOPĀ</t>
  </si>
  <si>
    <t>Ministrijas, kopā</t>
  </si>
  <si>
    <t>Prognoze lauztajiem līgumiem un neatbilstībām 09.05.2012.-31.12.2015. (publiskais fin.); Kopā 52,3 milj. latu</t>
  </si>
  <si>
    <t>5=3+4</t>
  </si>
  <si>
    <t>Kopējā plānu neizpilde uz 30.06.2013</t>
  </si>
  <si>
    <t>JŪNIJS Virssaistību līgumu plāna neizpilde; Kopā 30,4 milj. LVL</t>
  </si>
  <si>
    <t>JŪNIJS AI mērķa fondu dalījumā maksājumiem FS neizpilde 2 mēnešus pēc kārtas (maijs/jūnijs); Kopā 13,5 milj. LVL</t>
  </si>
  <si>
    <t>Kopējā plānu neizpilde uz 31.07.2013.</t>
  </si>
  <si>
    <r>
      <t xml:space="preserve">Neizpildes salīzinājumā (30.06. pret 31.07.) </t>
    </r>
    <r>
      <rPr>
        <b/>
        <i/>
        <sz val="10"/>
        <rFont val="Times New Roman"/>
        <family val="1"/>
        <charset val="186"/>
      </rPr>
      <t>-</t>
    </r>
    <r>
      <rPr>
        <b/>
        <i/>
        <sz val="9"/>
        <rFont val="Times New Roman"/>
        <family val="1"/>
        <charset val="186"/>
      </rPr>
      <t xml:space="preserve"> zaļa bulta - neizpildes palielinānums, sarkana - samazinājums</t>
    </r>
  </si>
  <si>
    <t>8=7-1</t>
  </si>
  <si>
    <t>Kopā:</t>
  </si>
  <si>
    <t>Noslēgti līgumi par virssaistību finansējumu (publiskā fin.daļa) uz 30.09.2013.; Kopā 83,5 milj. latu</t>
  </si>
  <si>
    <t>Kopējā plānu neizpilde; Kopā 46,7 milj. latu</t>
  </si>
  <si>
    <t>Virssaistību finansējums atbilstoši apst. MK p/l; Kopā 280,1 milj. latu</t>
  </si>
  <si>
    <t>AI mērķa fondu dalījumā maksājumiem FS neizpilde 2 mēnešus pēc kārtas (augusts, septembris); Kopā 28,4 milj. latu</t>
  </si>
  <si>
    <t>Prognoze lauztajiem līgumiem un neatbilstībām 09.05.2012.-31.12.2015. (publiskais fin.); Kopā 52 milj. latu</t>
  </si>
  <si>
    <t>Virssaistību līgumu plāna neizpilde; Kopā 18,3 milj. latu</t>
  </si>
  <si>
    <t>SEPTEMBRIS Virssaistību līgumu plāna neizpilde; Kopā 18,3 milj. latu</t>
  </si>
  <si>
    <t>SEPTEMBRIS AI mērķa fondu dalījumā maksājumiem FS neizpilde 2 mēnešus pēc kārtas (jūnijs/jūlijs); Kopā 28,4 milj. latu</t>
  </si>
  <si>
    <t>Tabula „Virssaistību līgumu plānu un maksājumu mērķu finansējuma saņēmējiem izpildes salīdzinājums ar datiem uz 30.06.2013.</t>
  </si>
  <si>
    <t>Konceptuāli pielemtās virssaistības (ES fondu fin. + valsts budžeta daļa (neskaitot pašvaldību līdzifn.) atbilstoši apst. MK p/l, LVL*</t>
  </si>
  <si>
    <t>Šobrīd aktivitātē ir noslēgti kopā līgumi par kopējo finansējumu 73 254 884,55 LVL ERAF. Kopējais pieejamais finansējums 145 626 554 LVL (97 891 188 LVL ERAF, 6 926 234 LVL Valsts budžets, 40 809 132 LVL virssaistības). Šobrīd brīvais finansējums ņemot vērā grozījumus ir 72 371 669,4 LVL, kas tiek rezervēts 3., un 4.atlases kārtas īstenošanai. 
Virsasitību finansējums 40 809 132 LVL apmē tiek izdalīts 7 232 354 LVL apmērā 2.projektu atlases kārtai, 8 838 324  LVL apmērā 3.projektu atlases kārtai, 24 738 454 LVL apmērā 4.projektu atlases kārtai.</t>
  </si>
  <si>
    <t>Ir izsludināta projektu iesniegumu pieņemšana līdz 30.09.2013. par visu pieejamo finansējumu 6 615 525 LVL ERAF, 6 000 000 LVL virssaistību finansējums.</t>
  </si>
  <si>
    <t>Aktivitātes ietvaros kopējais noslēgto līgumu apjoms ir 53 178 467,66 LVL. Kopā ar projektiem vērtēšanā un apstiprinātajiem projektiem plānotā nepieciešamā summa sastāda 59 449 823,56 LVL. Kopā pieejamais finansējums sastāda 62759948, 92 LVL (54759948,92 LVL ERAF + 8 000 000 LVL virssaistības - atbilstoši MK saskaņotajiem DP grozījumiem). 
Pieejamais brīvais virssaistību apjoms sastāda 3 310 125,36 LVL, kas šīs aktivitātes ietvaros netiks apgūts. Tiek apsvērts pārdalīt pārpalikumu 3.5.2.1.1.apakšaktivitātei, kur pietrūkst līdzekļi 5.kārtas projektu apstiprināšanai.</t>
  </si>
  <si>
    <t>Virssaistību iespējas 2007.-2013.gada plānošanas perioda ES fondu projektos dalījumā pa ceturkšņiem un gadiem (LVL), kumulatīvi gada ietvaros</t>
  </si>
  <si>
    <t>4.pielikums
Informatīvajam ziņojumam par Eiropas Savienības struktūrfondu un Kohēzijas fonda, Eiropas Ekonomikas zonas finanšu instrumenta, Norvēģijas finanšu instrumenta un Latvijas–Šveices sadarbības programmas apguvi līdz 2013.gada 30.septembrim</t>
  </si>
  <si>
    <t>* Virssaistību finansējums norādīts indikatīvi</t>
  </si>
  <si>
    <t>Aktivitāte "Daudzdzīvokļu māju siltumnoturības uzlabošanas pasākumi" **</t>
  </si>
  <si>
    <t>Aktivitāte "Mācību aprīkojuma modernizācija un infrastruktūras uzlabošana profesionālās izglītības programmu īstenošanai" **</t>
  </si>
  <si>
    <t>** Virssaistību finansējums norādīts atbilstoši Ministru kabineta 2013.gada 24.septemebra sēdē konceptuāli pieņemtajam lēmumuma, virssaistību finansējuma pārdales stāsies spēkā pēc Eiropas Komisijas pozitīva lēmuma par ierosinātājam ERAF finansējuma pārdalēm</t>
  </si>
  <si>
    <t>I cet.</t>
  </si>
  <si>
    <t>II cet.</t>
  </si>
  <si>
    <t>III cet.</t>
  </si>
  <si>
    <t xml:space="preserve">Noslēgto līgumu apjoms 2014.gadā </t>
  </si>
  <si>
    <t>17=11+15+16</t>
  </si>
  <si>
    <t>A.Šluburs</t>
  </si>
  <si>
    <t>Arturs.Sluburs@fm.gov.lv</t>
  </si>
  <si>
    <t xml:space="preserve">Finanšu ministra vietā - </t>
  </si>
  <si>
    <t>*** 2014.gada janvāris</t>
  </si>
  <si>
    <t>9 084 096***</t>
  </si>
  <si>
    <t>satiksmes ministrs</t>
  </si>
  <si>
    <t>A.Matīss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</si>
</sst>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0.000"/>
    <numFmt numFmtId="167" formatCode="[$-1010426]#,##0.00;\-#,##0.00"/>
    <numFmt numFmtId="168" formatCode="#,##0.000"/>
    <numFmt numFmtId="169" formatCode="#,##0.0000"/>
    <numFmt numFmtId="170" formatCode="#,##0.0"/>
    <numFmt numFmtId="171" formatCode="_-* #,##0_-;\-* #,##0_-;_-* &quot;-&quot;??_-;_-@_-"/>
  </numFmts>
  <fonts count="168">
    <font>
      <sz val="11"/>
      <color theme="1"/>
      <name val="Calibri"/>
      <family val="2"/>
      <charset val="186"/>
      <scheme val="minor"/>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0"/>
      <name val="Arial"/>
      <family val="2"/>
      <charset val="186"/>
    </font>
    <font>
      <sz val="10"/>
      <name val="Arial"/>
      <family val="2"/>
      <charset val="186"/>
    </font>
    <font>
      <sz val="11"/>
      <color theme="1"/>
      <name val="Calibri"/>
      <family val="2"/>
      <charset val="186"/>
      <scheme val="minor"/>
    </font>
    <font>
      <sz val="13"/>
      <name val="Times New Roman"/>
      <family val="1"/>
      <charset val="204"/>
    </font>
    <font>
      <b/>
      <sz val="13"/>
      <name val="Times New Roman"/>
      <family val="1"/>
      <charset val="204"/>
    </font>
    <font>
      <b/>
      <vertAlign val="superscript"/>
      <sz val="13"/>
      <name val="Times New Roman"/>
      <family val="1"/>
      <charset val="186"/>
    </font>
    <font>
      <b/>
      <sz val="13"/>
      <name val="Times New Roman"/>
      <family val="1"/>
      <charset val="186"/>
    </font>
    <font>
      <sz val="14"/>
      <color indexed="81"/>
      <name val="Times New Roman"/>
      <family val="1"/>
      <charset val="186"/>
    </font>
    <font>
      <b/>
      <sz val="14"/>
      <color indexed="81"/>
      <name val="Times New Roman"/>
      <family val="1"/>
      <charset val="186"/>
    </font>
    <font>
      <sz val="10"/>
      <color theme="1"/>
      <name val="Times New Roman"/>
      <family val="2"/>
      <charset val="186"/>
    </font>
    <font>
      <b/>
      <sz val="11"/>
      <color theme="1"/>
      <name val="Calibri"/>
      <family val="2"/>
      <scheme val="minor"/>
    </font>
    <font>
      <b/>
      <i/>
      <sz val="11"/>
      <color theme="1"/>
      <name val="Calibri"/>
      <family val="2"/>
      <scheme val="minor"/>
    </font>
    <font>
      <sz val="11"/>
      <color rgb="FF000000"/>
      <name val="Calibri"/>
      <family val="2"/>
      <charset val="186"/>
      <scheme val="minor"/>
    </font>
    <font>
      <sz val="11"/>
      <color theme="1"/>
      <name val="Calibri"/>
      <family val="2"/>
      <scheme val="minor"/>
    </font>
    <font>
      <i/>
      <sz val="11"/>
      <color theme="1" tint="0.499984740745262"/>
      <name val="Calibri"/>
      <family val="2"/>
      <charset val="186"/>
      <scheme val="minor"/>
    </font>
    <font>
      <sz val="11"/>
      <color rgb="FFFF0000"/>
      <name val="Calibri"/>
      <family val="2"/>
      <charset val="186"/>
      <scheme val="minor"/>
    </font>
    <font>
      <b/>
      <sz val="10"/>
      <name val="Times New Roman"/>
      <family val="1"/>
      <charset val="204"/>
    </font>
    <font>
      <b/>
      <vertAlign val="superscript"/>
      <sz val="10"/>
      <name val="Times New Roman"/>
      <family val="1"/>
      <charset val="204"/>
    </font>
    <font>
      <b/>
      <sz val="10"/>
      <color rgb="FFFF0000"/>
      <name val="Times New Roman"/>
      <family val="1"/>
      <charset val="204"/>
    </font>
    <font>
      <b/>
      <sz val="10"/>
      <name val="Times New Roman"/>
      <family val="1"/>
      <charset val="186"/>
    </font>
    <font>
      <b/>
      <vertAlign val="superscript"/>
      <sz val="10"/>
      <name val="Times New Roman"/>
      <family val="1"/>
      <charset val="186"/>
    </font>
    <font>
      <sz val="10"/>
      <color theme="1"/>
      <name val="Times New Roman"/>
      <family val="1"/>
      <charset val="186"/>
    </font>
    <font>
      <b/>
      <sz val="10"/>
      <color theme="1"/>
      <name val="Times New Roman"/>
      <family val="1"/>
      <charset val="186"/>
    </font>
    <font>
      <sz val="10"/>
      <name val="Arial"/>
      <family val="2"/>
      <charset val="186"/>
    </font>
    <font>
      <sz val="13"/>
      <name val="Times New Roman"/>
      <family val="1"/>
      <charset val="186"/>
    </font>
    <font>
      <b/>
      <sz val="11"/>
      <color rgb="FFFF0000"/>
      <name val="Calibri"/>
      <family val="2"/>
      <scheme val="minor"/>
    </font>
    <font>
      <sz val="11"/>
      <color rgb="FFFF0000"/>
      <name val="Calibri"/>
      <family val="2"/>
      <scheme val="minor"/>
    </font>
    <font>
      <b/>
      <sz val="11"/>
      <color rgb="FFFF0000"/>
      <name val="Calibri"/>
      <family val="2"/>
      <charset val="186"/>
      <scheme val="minor"/>
    </font>
    <font>
      <sz val="11"/>
      <color indexed="8"/>
      <name val="Calibri"/>
      <family val="2"/>
      <charset val="186"/>
    </font>
    <font>
      <sz val="11"/>
      <color indexed="9"/>
      <name val="Calibri"/>
      <family val="2"/>
      <charset val="186"/>
    </font>
    <font>
      <i/>
      <sz val="11"/>
      <color indexed="23"/>
      <name val="Calibri"/>
      <family val="2"/>
      <charset val="186"/>
    </font>
    <font>
      <sz val="10"/>
      <color indexed="8"/>
      <name val="Times New Roman"/>
      <family val="1"/>
      <charset val="186"/>
    </font>
    <font>
      <sz val="10"/>
      <name val="Times New Roman"/>
      <family val="1"/>
      <charset val="186"/>
    </font>
    <font>
      <sz val="10"/>
      <name val="BaltHelvetica"/>
    </font>
    <font>
      <sz val="10"/>
      <name val="Helv"/>
    </font>
    <font>
      <sz val="11"/>
      <color indexed="8"/>
      <name val="Calibri"/>
      <family val="2"/>
    </font>
    <font>
      <sz val="11"/>
      <color indexed="9"/>
      <name val="Calibri"/>
      <family val="2"/>
    </font>
    <font>
      <b/>
      <sz val="11"/>
      <color indexed="8"/>
      <name val="Calibri"/>
      <family val="2"/>
    </font>
    <font>
      <sz val="10"/>
      <name val="BaltGaramond"/>
      <family val="2"/>
    </font>
    <font>
      <sz val="10"/>
      <color indexed="8"/>
      <name val="Arial"/>
      <family val="2"/>
      <charset val="186"/>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sz val="10"/>
      <name val="BaltGaramond"/>
      <family val="2"/>
      <charset val="186"/>
    </font>
    <font>
      <b/>
      <sz val="10"/>
      <color indexed="8"/>
      <name val="Times New Roman"/>
      <family val="1"/>
      <charset val="186"/>
    </font>
    <font>
      <sz val="11"/>
      <color indexed="16"/>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name val="BaltOptima"/>
      <charset val="186"/>
    </font>
    <font>
      <sz val="10"/>
      <color indexed="12"/>
      <name val="Arial"/>
      <family val="2"/>
      <charset val="186"/>
    </font>
    <font>
      <sz val="10"/>
      <color theme="1"/>
      <name val="Arial"/>
      <family val="2"/>
      <charset val="186"/>
    </font>
    <font>
      <sz val="13"/>
      <color theme="1"/>
      <name val="Calibri"/>
      <family val="2"/>
      <charset val="186"/>
      <scheme val="minor"/>
    </font>
    <font>
      <sz val="13"/>
      <name val="Calibri"/>
      <family val="2"/>
      <charset val="186"/>
      <scheme val="minor"/>
    </font>
    <font>
      <b/>
      <sz val="13"/>
      <color rgb="FFFF0000"/>
      <name val="Times New Roman"/>
      <family val="1"/>
      <charset val="204"/>
    </font>
    <font>
      <b/>
      <sz val="13"/>
      <color theme="1"/>
      <name val="Times New Roman"/>
      <family val="1"/>
      <charset val="186"/>
    </font>
    <font>
      <b/>
      <i/>
      <sz val="13"/>
      <name val="Times New Roman"/>
      <family val="1"/>
      <charset val="204"/>
    </font>
    <font>
      <b/>
      <i/>
      <vertAlign val="superscript"/>
      <sz val="13"/>
      <color rgb="FFFF0000"/>
      <name val="Times New Roman"/>
      <family val="1"/>
      <charset val="186"/>
    </font>
    <font>
      <sz val="13"/>
      <color theme="1"/>
      <name val="Times New Roman"/>
      <family val="1"/>
      <charset val="186"/>
    </font>
    <font>
      <vertAlign val="superscript"/>
      <sz val="13"/>
      <name val="Times New Roman"/>
      <family val="1"/>
      <charset val="186"/>
    </font>
    <font>
      <b/>
      <i/>
      <vertAlign val="superscript"/>
      <sz val="13"/>
      <color rgb="FFFF0000"/>
      <name val="Times New Roman"/>
      <family val="1"/>
      <charset val="204"/>
    </font>
    <font>
      <sz val="13"/>
      <color theme="1"/>
      <name val="Times New Roman"/>
      <family val="1"/>
      <charset val="204"/>
    </font>
    <font>
      <sz val="13"/>
      <color rgb="FFFF0000"/>
      <name val="Times New Roman"/>
      <family val="1"/>
      <charset val="204"/>
    </font>
    <font>
      <sz val="13"/>
      <color rgb="FFFF0000"/>
      <name val="Calibri"/>
      <family val="2"/>
      <charset val="186"/>
      <scheme val="minor"/>
    </font>
    <font>
      <b/>
      <sz val="16"/>
      <color indexed="8"/>
      <name val="Times New Roman"/>
      <family val="1"/>
      <charset val="204"/>
    </font>
    <font>
      <i/>
      <sz val="16"/>
      <name val="Times New Roman"/>
      <family val="1"/>
      <charset val="204"/>
    </font>
    <font>
      <b/>
      <sz val="13"/>
      <color theme="1"/>
      <name val="Calibri"/>
      <family val="2"/>
      <charset val="186"/>
      <scheme val="minor"/>
    </font>
    <font>
      <sz val="11"/>
      <name val="Calibri"/>
      <family val="2"/>
      <charset val="186"/>
      <scheme val="minor"/>
    </font>
    <font>
      <sz val="12"/>
      <name val="Times New Roman"/>
      <family val="1"/>
      <charset val="186"/>
    </font>
    <font>
      <sz val="12"/>
      <color indexed="8"/>
      <name val="Times New Roman"/>
      <family val="1"/>
      <charset val="186"/>
    </font>
    <font>
      <b/>
      <sz val="12"/>
      <color indexed="8"/>
      <name val="Times New Roman"/>
      <family val="1"/>
      <charset val="186"/>
    </font>
    <font>
      <i/>
      <sz val="12"/>
      <color indexed="8"/>
      <name val="Times New Roman"/>
      <family val="1"/>
      <charset val="186"/>
    </font>
    <font>
      <b/>
      <sz val="12"/>
      <name val="Times New Roman"/>
      <family val="1"/>
      <charset val="186"/>
    </font>
    <font>
      <sz val="12"/>
      <color theme="1"/>
      <name val="Times New Roman"/>
      <family val="1"/>
      <charset val="186"/>
    </font>
    <font>
      <sz val="12"/>
      <name val="Times New Roman"/>
      <family val="2"/>
      <charset val="186"/>
    </font>
    <font>
      <sz val="11"/>
      <name val="Times New Roman"/>
      <family val="2"/>
      <charset val="186"/>
    </font>
    <font>
      <sz val="12"/>
      <name val="Times New Roman"/>
      <family val="1"/>
    </font>
    <font>
      <b/>
      <sz val="13"/>
      <name val="Times New Roman"/>
      <family val="1"/>
    </font>
    <font>
      <b/>
      <sz val="13"/>
      <color theme="1"/>
      <name val="Times New Roman"/>
      <family val="1"/>
    </font>
    <font>
      <b/>
      <sz val="12"/>
      <color indexed="8"/>
      <name val="Times New Roman"/>
      <family val="1"/>
      <charset val="204"/>
    </font>
    <font>
      <sz val="12"/>
      <color theme="1"/>
      <name val="Calibri"/>
      <family val="2"/>
      <charset val="186"/>
      <scheme val="minor"/>
    </font>
    <font>
      <b/>
      <sz val="12"/>
      <name val="Times New Roman"/>
      <family val="1"/>
      <charset val="204"/>
    </font>
    <font>
      <b/>
      <sz val="12"/>
      <color theme="1"/>
      <name val="Times New Roman"/>
      <family val="1"/>
      <charset val="186"/>
    </font>
    <font>
      <sz val="12"/>
      <name val="Times New Roman"/>
      <family val="1"/>
      <charset val="204"/>
    </font>
    <font>
      <b/>
      <i/>
      <sz val="13"/>
      <name val="Times New Roman"/>
      <family val="1"/>
    </font>
    <font>
      <sz val="16"/>
      <color indexed="8"/>
      <name val="Times New Roman"/>
      <family val="1"/>
      <charset val="186"/>
    </font>
    <font>
      <sz val="16"/>
      <name val="Times New Roman"/>
      <family val="1"/>
      <charset val="186"/>
    </font>
    <font>
      <sz val="12"/>
      <color rgb="FF000000"/>
      <name val="Times New Roman"/>
      <family val="1"/>
      <charset val="186"/>
    </font>
    <font>
      <sz val="14"/>
      <name val="Times New Roman"/>
      <family val="1"/>
      <charset val="186"/>
    </font>
    <font>
      <sz val="14"/>
      <color theme="1"/>
      <name val="Calibri"/>
      <family val="2"/>
      <charset val="186"/>
      <scheme val="minor"/>
    </font>
    <font>
      <u/>
      <sz val="11"/>
      <color theme="10"/>
      <name val="Calibri"/>
      <family val="2"/>
      <charset val="186"/>
      <scheme val="minor"/>
    </font>
    <font>
      <b/>
      <sz val="13"/>
      <color rgb="FFFF0000"/>
      <name val="Times New Roman"/>
      <family val="1"/>
      <charset val="186"/>
    </font>
    <font>
      <b/>
      <sz val="16"/>
      <color rgb="FFFF0000"/>
      <name val="Calibri"/>
      <family val="2"/>
      <charset val="186"/>
      <scheme val="minor"/>
    </font>
    <font>
      <b/>
      <sz val="13"/>
      <color rgb="FFFF0000"/>
      <name val="Calibri"/>
      <family val="2"/>
      <charset val="186"/>
      <scheme val="minor"/>
    </font>
    <font>
      <b/>
      <sz val="16"/>
      <name val="Times New Roman"/>
      <family val="1"/>
      <charset val="204"/>
    </font>
    <font>
      <b/>
      <sz val="9"/>
      <color indexed="81"/>
      <name val="Tahoma"/>
      <family val="2"/>
      <charset val="186"/>
    </font>
    <font>
      <sz val="9"/>
      <color indexed="81"/>
      <name val="Tahoma"/>
      <family val="2"/>
      <charset val="186"/>
    </font>
    <font>
      <sz val="12"/>
      <color rgb="FFFF0000"/>
      <name val="Times New Roman"/>
      <family val="2"/>
      <charset val="186"/>
    </font>
    <font>
      <sz val="8"/>
      <color indexed="81"/>
      <name val="Tahoma"/>
      <family val="2"/>
      <charset val="186"/>
    </font>
    <font>
      <b/>
      <sz val="8"/>
      <color indexed="81"/>
      <name val="Tahoma"/>
      <family val="2"/>
      <charset val="186"/>
    </font>
    <font>
      <sz val="13"/>
      <color theme="0" tint="-0.499984740745262"/>
      <name val="Calibri"/>
      <family val="2"/>
      <charset val="186"/>
      <scheme val="minor"/>
    </font>
    <font>
      <b/>
      <sz val="13"/>
      <color theme="0" tint="-0.499984740745262"/>
      <name val="Times New Roman"/>
      <family val="1"/>
      <charset val="204"/>
    </font>
    <font>
      <b/>
      <sz val="13"/>
      <color theme="0" tint="-0.499984740745262"/>
      <name val="Times New Roman"/>
      <family val="1"/>
      <charset val="186"/>
    </font>
    <font>
      <sz val="13"/>
      <color theme="0" tint="-0.499984740745262"/>
      <name val="Times New Roman"/>
      <family val="1"/>
      <charset val="204"/>
    </font>
    <font>
      <b/>
      <i/>
      <sz val="13"/>
      <color theme="0" tint="-0.499984740745262"/>
      <name val="Times New Roman"/>
      <family val="1"/>
      <charset val="204"/>
    </font>
    <font>
      <b/>
      <i/>
      <sz val="16"/>
      <color indexed="8"/>
      <name val="Times New Roman"/>
      <family val="1"/>
      <charset val="186"/>
    </font>
    <font>
      <b/>
      <sz val="13"/>
      <color theme="1" tint="0.499984740745262"/>
      <name val="Times New Roman"/>
      <family val="1"/>
      <charset val="186"/>
    </font>
    <font>
      <b/>
      <sz val="11"/>
      <name val="Times New Roman"/>
      <family val="1"/>
      <charset val="186"/>
    </font>
    <font>
      <sz val="11"/>
      <name val="Times New Roman"/>
      <family val="1"/>
      <charset val="186"/>
    </font>
    <font>
      <sz val="11"/>
      <color theme="1"/>
      <name val="Times New Roman"/>
      <family val="1"/>
      <charset val="186"/>
    </font>
    <font>
      <b/>
      <u/>
      <sz val="11"/>
      <name val="Times New Roman"/>
      <family val="1"/>
      <charset val="186"/>
    </font>
    <font>
      <sz val="10"/>
      <color theme="0" tint="-0.34998626667073579"/>
      <name val="Times New Roman"/>
      <family val="1"/>
      <charset val="186"/>
    </font>
    <font>
      <sz val="10"/>
      <color rgb="FFFF0000"/>
      <name val="Times New Roman"/>
      <family val="1"/>
      <charset val="186"/>
    </font>
    <font>
      <sz val="12"/>
      <color rgb="FFFF0000"/>
      <name val="Times New Roman"/>
      <family val="1"/>
      <charset val="186"/>
    </font>
    <font>
      <sz val="16"/>
      <name val="Arial"/>
      <family val="2"/>
    </font>
    <font>
      <sz val="16"/>
      <color rgb="FFFF0000"/>
      <name val="Arial"/>
      <family val="2"/>
    </font>
    <font>
      <sz val="16"/>
      <color rgb="FFFF0000"/>
      <name val="Times New Roman"/>
      <family val="1"/>
      <charset val="186"/>
    </font>
    <font>
      <sz val="16"/>
      <name val="Times New Roman"/>
      <family val="2"/>
      <charset val="186"/>
    </font>
    <font>
      <sz val="16"/>
      <color rgb="FFFF0000"/>
      <name val="Times New Roman"/>
      <family val="2"/>
      <charset val="186"/>
    </font>
    <font>
      <b/>
      <sz val="13"/>
      <color theme="1" tint="0.499984740745262"/>
      <name val="Times New Roman"/>
      <family val="1"/>
      <charset val="204"/>
    </font>
    <font>
      <b/>
      <sz val="16"/>
      <color theme="1" tint="0.499984740745262"/>
      <name val="Times New Roman"/>
      <family val="1"/>
      <charset val="204"/>
    </font>
    <font>
      <i/>
      <sz val="16"/>
      <color theme="1" tint="0.499984740745262"/>
      <name val="Times New Roman"/>
      <family val="1"/>
      <charset val="204"/>
    </font>
    <font>
      <sz val="13"/>
      <color theme="1" tint="0.499984740745262"/>
      <name val="Calibri"/>
      <family val="2"/>
      <charset val="186"/>
      <scheme val="minor"/>
    </font>
    <font>
      <b/>
      <sz val="14"/>
      <color theme="1" tint="0.499984740745262"/>
      <name val="Times New Roman"/>
      <family val="1"/>
      <charset val="186"/>
    </font>
    <font>
      <sz val="13"/>
      <color theme="1" tint="0.499984740745262"/>
      <name val="Times New Roman"/>
      <family val="1"/>
      <charset val="204"/>
    </font>
    <font>
      <sz val="14"/>
      <color theme="1" tint="0.499984740745262"/>
      <name val="Calibri"/>
      <family val="2"/>
      <charset val="186"/>
      <scheme val="minor"/>
    </font>
    <font>
      <b/>
      <sz val="11"/>
      <color theme="1"/>
      <name val="Calibri"/>
      <family val="2"/>
      <charset val="186"/>
      <scheme val="minor"/>
    </font>
    <font>
      <sz val="10"/>
      <color theme="1"/>
      <name val="Calibri"/>
      <family val="2"/>
      <charset val="186"/>
      <scheme val="minor"/>
    </font>
    <font>
      <b/>
      <sz val="11"/>
      <color theme="1"/>
      <name val="Times New Roman"/>
      <family val="1"/>
      <charset val="186"/>
    </font>
    <font>
      <b/>
      <i/>
      <sz val="10"/>
      <name val="Times New Roman"/>
      <family val="1"/>
      <charset val="186"/>
    </font>
    <font>
      <b/>
      <i/>
      <sz val="9"/>
      <name val="Times New Roman"/>
      <family val="1"/>
      <charset val="186"/>
    </font>
    <font>
      <sz val="18"/>
      <name val="Times New Roman"/>
      <family val="1"/>
      <charset val="186"/>
    </font>
    <font>
      <b/>
      <i/>
      <sz val="16"/>
      <name val="Times New Roman"/>
      <family val="1"/>
      <charset val="186"/>
    </font>
    <font>
      <b/>
      <i/>
      <sz val="16"/>
      <color theme="1" tint="0.499984740745262"/>
      <name val="Times New Roman"/>
      <family val="1"/>
      <charset val="186"/>
    </font>
    <font>
      <b/>
      <sz val="18"/>
      <name val="Times New Roman"/>
      <family val="1"/>
      <charset val="186"/>
    </font>
    <font>
      <b/>
      <sz val="16"/>
      <name val="Times New Roman"/>
      <family val="1"/>
      <charset val="186"/>
    </font>
    <font>
      <i/>
      <sz val="16"/>
      <color rgb="FF4B6DCD"/>
      <name val="Times New Roman"/>
      <family val="1"/>
      <charset val="204"/>
    </font>
    <font>
      <b/>
      <i/>
      <sz val="16"/>
      <color rgb="FF4B6DCD"/>
      <name val="Times New Roman"/>
      <family val="1"/>
      <charset val="186"/>
    </font>
    <font>
      <b/>
      <i/>
      <sz val="16"/>
      <color rgb="FF4B6DCD"/>
      <name val="Times New Roman"/>
      <family val="1"/>
      <charset val="204"/>
    </font>
    <font>
      <i/>
      <sz val="13"/>
      <color rgb="FF4B6DCD"/>
      <name val="Calibri"/>
      <family val="2"/>
      <charset val="186"/>
      <scheme val="minor"/>
    </font>
    <font>
      <sz val="11"/>
      <color rgb="FF000000"/>
      <name val="Arial"/>
      <family val="2"/>
      <charset val="186"/>
    </font>
    <font>
      <sz val="13"/>
      <color rgb="FF000000"/>
      <name val="Times New Roman"/>
      <family val="1"/>
      <charset val="186"/>
    </font>
    <font>
      <sz val="24"/>
      <name val="Times New Roman"/>
      <family val="1"/>
      <charset val="186"/>
    </font>
    <font>
      <sz val="15.5"/>
      <color theme="1"/>
      <name val="Times New Roman"/>
      <family val="1"/>
      <charset val="186"/>
    </font>
    <font>
      <sz val="14"/>
      <color theme="1"/>
      <name val="Times New Roman"/>
      <family val="1"/>
      <charset val="186"/>
    </font>
    <font>
      <i/>
      <sz val="14"/>
      <color rgb="FF7030A0"/>
      <name val="Times New Roman"/>
      <family val="1"/>
      <charset val="186"/>
    </font>
  </fonts>
  <fills count="66">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43"/>
      </patternFill>
    </fill>
    <fill>
      <patternFill patternType="solid">
        <fgColor indexed="11"/>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15"/>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CD5B5"/>
        <bgColor indexed="64"/>
      </patternFill>
    </fill>
  </fills>
  <borders count="51">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thin">
        <color indexed="64"/>
      </top>
      <bottom/>
      <diagonal/>
    </border>
    <border>
      <left style="thin">
        <color indexed="64"/>
      </left>
      <right/>
      <top style="double">
        <color indexed="64"/>
      </top>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uble">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963">
    <xf numFmtId="0" fontId="0" fillId="0" borderId="0"/>
    <xf numFmtId="0" fontId="15" fillId="0" borderId="0"/>
    <xf numFmtId="0" fontId="15" fillId="0" borderId="0"/>
    <xf numFmtId="0" fontId="15" fillId="0" borderId="0"/>
    <xf numFmtId="0" fontId="15" fillId="0" borderId="0"/>
    <xf numFmtId="0" fontId="16" fillId="0" borderId="0"/>
    <xf numFmtId="0" fontId="16" fillId="0" borderId="0"/>
    <xf numFmtId="0" fontId="14" fillId="0" borderId="0"/>
    <xf numFmtId="0" fontId="15" fillId="0" borderId="0"/>
    <xf numFmtId="0" fontId="15" fillId="0" borderId="0"/>
    <xf numFmtId="0" fontId="15" fillId="0" borderId="0"/>
    <xf numFmtId="0" fontId="15" fillId="0" borderId="0"/>
    <xf numFmtId="0" fontId="16" fillId="0" borderId="0"/>
    <xf numFmtId="4" fontId="23" fillId="5" borderId="2"/>
    <xf numFmtId="9" fontId="16" fillId="0" borderId="0" applyFont="0" applyFill="0" applyBorder="0" applyAlignment="0" applyProtection="0"/>
    <xf numFmtId="0" fontId="37" fillId="0" borderId="0"/>
    <xf numFmtId="0" fontId="13" fillId="0" borderId="0"/>
    <xf numFmtId="9" fontId="13" fillId="0" borderId="0" applyFont="0" applyFill="0" applyBorder="0" applyAlignment="0" applyProtection="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6" fillId="0" borderId="0" applyFont="0" applyFill="0" applyBorder="0" applyAlignment="0" applyProtection="0"/>
    <xf numFmtId="0" fontId="14" fillId="0" borderId="0"/>
    <xf numFmtId="0" fontId="42" fillId="9"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1"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3" fillId="11"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6" borderId="0" applyNumberFormat="0" applyBorder="0" applyAlignment="0" applyProtection="0"/>
    <xf numFmtId="0" fontId="43" fillId="15"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50" fillId="24"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0" fillId="3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50" fillId="23" borderId="0" applyNumberFormat="0" applyBorder="0" applyAlignment="0" applyProtection="0"/>
    <xf numFmtId="0" fontId="49" fillId="33" borderId="0" applyNumberFormat="0" applyBorder="0" applyAlignment="0" applyProtection="0"/>
    <xf numFmtId="0" fontId="49" fillId="27" borderId="0" applyNumberFormat="0" applyBorder="0" applyAlignment="0" applyProtection="0"/>
    <xf numFmtId="0" fontId="50" fillId="34" borderId="0" applyNumberFormat="0" applyBorder="0" applyAlignment="0" applyProtection="0"/>
    <xf numFmtId="0" fontId="64" fillId="27" borderId="0" applyNumberFormat="0" applyBorder="0" applyAlignment="0" applyProtection="0"/>
    <xf numFmtId="0" fontId="65" fillId="28" borderId="7" applyNumberFormat="0" applyAlignment="0" applyProtection="0"/>
    <xf numFmtId="43" fontId="14" fillId="0" borderId="0" applyFont="0" applyFill="0" applyBorder="0" applyAlignment="0" applyProtection="0"/>
    <xf numFmtId="43" fontId="13" fillId="0" borderId="0" applyFont="0" applyFill="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165" fontId="52" fillId="0" borderId="0" applyBorder="0" applyAlignment="0" applyProtection="0"/>
    <xf numFmtId="0" fontId="44" fillId="0" borderId="0" applyNumberFormat="0" applyFill="0" applyBorder="0" applyAlignment="0" applyProtection="0"/>
    <xf numFmtId="0" fontId="66" fillId="38"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166" fontId="52" fillId="39" borderId="0"/>
    <xf numFmtId="0" fontId="70" fillId="0" borderId="11" applyNumberFormat="0" applyFill="0" applyAlignment="0" applyProtection="0"/>
    <xf numFmtId="0" fontId="16"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3" fillId="0" borderId="0"/>
    <xf numFmtId="0" fontId="14" fillId="0" borderId="0"/>
    <xf numFmtId="0" fontId="16" fillId="0" borderId="0"/>
    <xf numFmtId="0" fontId="16" fillId="0" borderId="0"/>
    <xf numFmtId="0" fontId="16" fillId="0" borderId="0"/>
    <xf numFmtId="0" fontId="14" fillId="0" borderId="0"/>
    <xf numFmtId="0" fontId="14" fillId="0" borderId="0"/>
    <xf numFmtId="0" fontId="14" fillId="0" borderId="0"/>
    <xf numFmtId="0" fontId="16" fillId="0" borderId="0"/>
    <xf numFmtId="0" fontId="72" fillId="0" borderId="0"/>
    <xf numFmtId="0" fontId="16" fillId="0" borderId="0"/>
    <xf numFmtId="0" fontId="53" fillId="0" borderId="0"/>
    <xf numFmtId="0" fontId="14" fillId="0" borderId="0"/>
    <xf numFmtId="0" fontId="16" fillId="0" borderId="0"/>
    <xf numFmtId="0" fontId="71" fillId="0" borderId="0"/>
    <xf numFmtId="0" fontId="14" fillId="33" borderId="12" applyNumberFormat="0" applyFont="0" applyAlignment="0" applyProtection="0"/>
    <xf numFmtId="0" fontId="14" fillId="0" borderId="0"/>
    <xf numFmtId="0" fontId="14" fillId="0" borderId="0"/>
    <xf numFmtId="0" fontId="73" fillId="0" borderId="0"/>
    <xf numFmtId="0" fontId="14" fillId="0" borderId="0"/>
    <xf numFmtId="0" fontId="14" fillId="0" borderId="0"/>
    <xf numFmtId="0" fontId="14" fillId="0" borderId="0"/>
    <xf numFmtId="0" fontId="16" fillId="0" borderId="0"/>
    <xf numFmtId="0" fontId="14" fillId="0" borderId="0"/>
    <xf numFmtId="0" fontId="14" fillId="0" borderId="0"/>
    <xf numFmtId="0" fontId="47" fillId="0" borderId="0"/>
    <xf numFmtId="9" fontId="14" fillId="0" borderId="0" applyFont="0" applyFill="0" applyBorder="0" applyAlignment="0" applyProtection="0"/>
    <xf numFmtId="9" fontId="13" fillId="0" borderId="0" applyFont="0" applyFill="0" applyBorder="0" applyAlignment="0" applyProtection="0"/>
    <xf numFmtId="165" fontId="52" fillId="41" borderId="0" applyBorder="0" applyProtection="0"/>
    <xf numFmtId="4" fontId="54" fillId="40" borderId="13" applyNumberFormat="0" applyProtection="0">
      <alignment vertical="center"/>
    </xf>
    <xf numFmtId="4" fontId="63" fillId="0" borderId="0" applyNumberFormat="0" applyProtection="0"/>
    <xf numFmtId="4" fontId="55" fillId="40" borderId="13" applyNumberFormat="0" applyProtection="0">
      <alignment vertical="center"/>
    </xf>
    <xf numFmtId="4" fontId="55" fillId="42" borderId="13" applyNumberFormat="0" applyProtection="0">
      <alignment vertical="center"/>
    </xf>
    <xf numFmtId="4" fontId="54" fillId="40" borderId="13" applyNumberFormat="0" applyProtection="0">
      <alignment horizontal="left" vertical="center" indent="1"/>
    </xf>
    <xf numFmtId="4" fontId="63" fillId="0" borderId="0" applyNumberFormat="0" applyProtection="0">
      <alignment horizontal="left" wrapText="1" indent="1" shrinkToFit="1"/>
    </xf>
    <xf numFmtId="0" fontId="54" fillId="40" borderId="13" applyNumberFormat="0" applyProtection="0">
      <alignment horizontal="left" vertical="top" indent="1"/>
    </xf>
    <xf numFmtId="0" fontId="54" fillId="42" borderId="13" applyNumberFormat="0" applyProtection="0">
      <alignment horizontal="left" vertical="top" indent="1"/>
    </xf>
    <xf numFmtId="4" fontId="54" fillId="0" borderId="0" applyNumberFormat="0" applyProtection="0">
      <alignment horizontal="left" vertical="center" indent="1"/>
    </xf>
    <xf numFmtId="4" fontId="45" fillId="0" borderId="2" applyNumberFormat="0" applyProtection="0">
      <alignment horizontal="left" vertical="center" indent="1"/>
    </xf>
    <xf numFmtId="4" fontId="56" fillId="10" borderId="13" applyNumberFormat="0" applyProtection="0">
      <alignment horizontal="right" vertical="center"/>
    </xf>
    <xf numFmtId="4" fontId="56" fillId="11" borderId="13" applyNumberFormat="0" applyProtection="0">
      <alignment horizontal="right" vertical="center"/>
    </xf>
    <xf numFmtId="4" fontId="56" fillId="25" borderId="13" applyNumberFormat="0" applyProtection="0">
      <alignment horizontal="right" vertical="center"/>
    </xf>
    <xf numFmtId="4" fontId="56" fillId="20" borderId="13" applyNumberFormat="0" applyProtection="0">
      <alignment horizontal="right" vertical="center"/>
    </xf>
    <xf numFmtId="4" fontId="56" fillId="21" borderId="13" applyNumberFormat="0" applyProtection="0">
      <alignment horizontal="right" vertical="center"/>
    </xf>
    <xf numFmtId="4" fontId="56" fillId="32" borderId="13" applyNumberFormat="0" applyProtection="0">
      <alignment horizontal="right" vertical="center"/>
    </xf>
    <xf numFmtId="4" fontId="56" fillId="18" borderId="13" applyNumberFormat="0" applyProtection="0">
      <alignment horizontal="right" vertical="center"/>
    </xf>
    <xf numFmtId="4" fontId="56" fillId="43" borderId="13" applyNumberFormat="0" applyProtection="0">
      <alignment horizontal="right" vertical="center"/>
    </xf>
    <xf numFmtId="4" fontId="56" fillId="17" borderId="13" applyNumberFormat="0" applyProtection="0">
      <alignment horizontal="right" vertical="center"/>
    </xf>
    <xf numFmtId="4" fontId="54" fillId="44" borderId="14" applyNumberFormat="0" applyProtection="0">
      <alignment horizontal="left" vertical="center" indent="1"/>
    </xf>
    <xf numFmtId="4" fontId="56" fillId="45" borderId="0" applyNumberFormat="0" applyProtection="0">
      <alignment horizontal="left" vertical="center" indent="1"/>
    </xf>
    <xf numFmtId="4" fontId="57" fillId="16" borderId="0" applyNumberFormat="0" applyProtection="0">
      <alignment horizontal="left" vertical="center" indent="1"/>
    </xf>
    <xf numFmtId="4" fontId="57" fillId="46" borderId="0" applyNumberFormat="0" applyProtection="0">
      <alignment horizontal="left" vertical="center" indent="1"/>
    </xf>
    <xf numFmtId="4" fontId="56" fillId="9" borderId="13" applyNumberFormat="0" applyProtection="0">
      <alignment horizontal="right" vertical="center"/>
    </xf>
    <xf numFmtId="4" fontId="53" fillId="45" borderId="0" applyNumberFormat="0" applyProtection="0">
      <alignment horizontal="left" vertical="center" indent="1"/>
    </xf>
    <xf numFmtId="4" fontId="53" fillId="9" borderId="0" applyNumberFormat="0" applyProtection="0">
      <alignment horizontal="left" vertical="center" indent="1"/>
    </xf>
    <xf numFmtId="4" fontId="53" fillId="47" borderId="0" applyNumberFormat="0" applyProtection="0">
      <alignment horizontal="left" vertical="center" indent="1"/>
    </xf>
    <xf numFmtId="0" fontId="46" fillId="0" borderId="0" applyNumberFormat="0" applyProtection="0">
      <alignment horizontal="left" vertical="center" wrapText="1" indent="1" shrinkToFit="1"/>
    </xf>
    <xf numFmtId="0" fontId="46" fillId="0" borderId="0" applyNumberFormat="0" applyProtection="0">
      <alignment horizontal="left" wrapText="1" indent="1" shrinkToFit="1"/>
    </xf>
    <xf numFmtId="0" fontId="14" fillId="16" borderId="13" applyNumberFormat="0" applyProtection="0">
      <alignment horizontal="left" vertical="top" indent="1"/>
    </xf>
    <xf numFmtId="0" fontId="14" fillId="46" borderId="13" applyNumberFormat="0" applyProtection="0">
      <alignment horizontal="left" vertical="top" indent="1"/>
    </xf>
    <xf numFmtId="0" fontId="46" fillId="0" borderId="0" applyNumberFormat="0" applyProtection="0">
      <alignment horizontal="left" vertical="center" wrapText="1" indent="1" shrinkToFit="1"/>
    </xf>
    <xf numFmtId="0" fontId="46" fillId="0" borderId="0" applyNumberFormat="0" applyProtection="0">
      <alignment horizontal="left" wrapText="1" indent="1" shrinkToFit="1"/>
    </xf>
    <xf numFmtId="0" fontId="14" fillId="9" borderId="13" applyNumberFormat="0" applyProtection="0">
      <alignment horizontal="left" vertical="top" indent="1"/>
    </xf>
    <xf numFmtId="0" fontId="14" fillId="47" borderId="13" applyNumberFormat="0" applyProtection="0">
      <alignment horizontal="left" vertical="top" indent="1"/>
    </xf>
    <xf numFmtId="0" fontId="46" fillId="0" borderId="0" applyNumberFormat="0" applyProtection="0">
      <alignment horizontal="left" vertical="center" wrapText="1" indent="1" shrinkToFit="1"/>
    </xf>
    <xf numFmtId="0" fontId="46" fillId="0" borderId="0" applyNumberFormat="0" applyProtection="0">
      <alignment horizontal="left" wrapText="1" indent="1" shrinkToFit="1"/>
    </xf>
    <xf numFmtId="0" fontId="14" fillId="14" borderId="13" applyNumberFormat="0" applyProtection="0">
      <alignment horizontal="left" vertical="top" indent="1"/>
    </xf>
    <xf numFmtId="0" fontId="14" fillId="48" borderId="13" applyNumberFormat="0" applyProtection="0">
      <alignment horizontal="left" vertical="top" indent="1"/>
    </xf>
    <xf numFmtId="0" fontId="14" fillId="0" borderId="2" applyNumberFormat="0" applyProtection="0">
      <alignment horizontal="left" vertical="center" indent="1"/>
    </xf>
    <xf numFmtId="0" fontId="46" fillId="0" borderId="0" applyNumberFormat="0" applyProtection="0">
      <alignment horizontal="left" wrapText="1" indent="1" shrinkToFit="1"/>
    </xf>
    <xf numFmtId="0" fontId="14" fillId="45" borderId="13" applyNumberFormat="0" applyProtection="0">
      <alignment horizontal="left" vertical="top" indent="1"/>
    </xf>
    <xf numFmtId="0" fontId="14" fillId="49" borderId="13" applyNumberFormat="0" applyProtection="0">
      <alignment horizontal="left" vertical="top" indent="1"/>
    </xf>
    <xf numFmtId="0" fontId="14" fillId="13" borderId="2" applyNumberFormat="0">
      <protection locked="0"/>
    </xf>
    <xf numFmtId="0" fontId="14" fillId="50" borderId="2" applyNumberFormat="0">
      <protection locked="0"/>
    </xf>
    <xf numFmtId="4" fontId="56" fillId="12" borderId="13" applyNumberFormat="0" applyProtection="0">
      <alignment vertical="center"/>
    </xf>
    <xf numFmtId="4" fontId="56" fillId="39" borderId="13" applyNumberFormat="0" applyProtection="0">
      <alignment vertical="center"/>
    </xf>
    <xf numFmtId="4" fontId="58" fillId="12" borderId="13" applyNumberFormat="0" applyProtection="0">
      <alignment vertical="center"/>
    </xf>
    <xf numFmtId="4" fontId="58" fillId="39" borderId="13" applyNumberFormat="0" applyProtection="0">
      <alignment vertical="center"/>
    </xf>
    <xf numFmtId="4" fontId="56" fillId="12" borderId="13" applyNumberFormat="0" applyProtection="0">
      <alignment horizontal="left" vertical="center" indent="1"/>
    </xf>
    <xf numFmtId="4" fontId="56" fillId="0" borderId="2" applyNumberFormat="0" applyProtection="0">
      <alignment horizontal="left" vertical="center" indent="1"/>
    </xf>
    <xf numFmtId="0" fontId="56" fillId="12" borderId="13" applyNumberFormat="0" applyProtection="0">
      <alignment horizontal="left" vertical="top" indent="1"/>
    </xf>
    <xf numFmtId="0" fontId="56" fillId="39" borderId="13" applyNumberFormat="0" applyProtection="0">
      <alignment horizontal="left" vertical="top" indent="1"/>
    </xf>
    <xf numFmtId="4" fontId="56" fillId="0" borderId="2" applyNumberFormat="0" applyProtection="0">
      <alignment horizontal="right" vertical="center"/>
    </xf>
    <xf numFmtId="4" fontId="45" fillId="0" borderId="0" applyNumberFormat="0" applyProtection="0">
      <alignment horizontal="right"/>
    </xf>
    <xf numFmtId="4" fontId="45" fillId="0" borderId="0" applyNumberFormat="0" applyProtection="0">
      <alignment horizontal="right"/>
    </xf>
    <xf numFmtId="4" fontId="58" fillId="45" borderId="13" applyNumberFormat="0" applyProtection="0">
      <alignment horizontal="right" vertical="center"/>
    </xf>
    <xf numFmtId="4" fontId="56" fillId="0" borderId="2" applyNumberFormat="0" applyProtection="0">
      <alignment horizontal="left" wrapText="1" indent="1"/>
    </xf>
    <xf numFmtId="4" fontId="45" fillId="0" borderId="2" applyNumberFormat="0" applyProtection="0">
      <alignment horizontal="left" wrapText="1" indent="1"/>
    </xf>
    <xf numFmtId="4" fontId="45" fillId="0" borderId="0" applyNumberFormat="0" applyProtection="0">
      <alignment horizontal="left" wrapText="1" indent="1"/>
    </xf>
    <xf numFmtId="4" fontId="45" fillId="0" borderId="0" applyNumberFormat="0" applyProtection="0">
      <alignment horizontal="left" wrapText="1" indent="1" shrinkToFit="1"/>
    </xf>
    <xf numFmtId="0" fontId="56" fillId="9" borderId="13" applyNumberFormat="0" applyProtection="0">
      <alignment horizontal="left" vertical="top" indent="1"/>
    </xf>
    <xf numFmtId="0" fontId="56" fillId="47" borderId="13" applyNumberFormat="0" applyProtection="0">
      <alignment horizontal="left" vertical="top" indent="1"/>
    </xf>
    <xf numFmtId="4" fontId="59" fillId="51" borderId="0" applyNumberFormat="0" applyProtection="0">
      <alignment horizontal="left" vertical="center" indent="1"/>
    </xf>
    <xf numFmtId="4" fontId="60" fillId="45" borderId="13" applyNumberFormat="0" applyProtection="0">
      <alignment horizontal="right" vertical="center"/>
    </xf>
    <xf numFmtId="0" fontId="61" fillId="0" borderId="0" applyNumberFormat="0" applyFill="0" applyBorder="0" applyAlignment="0" applyProtection="0"/>
    <xf numFmtId="0" fontId="48" fillId="0" borderId="0"/>
    <xf numFmtId="0" fontId="48" fillId="0" borderId="0"/>
    <xf numFmtId="165" fontId="62" fillId="2" borderId="0" applyBorder="0" applyProtection="0"/>
    <xf numFmtId="0" fontId="12"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112" fillId="0" borderId="0" applyNumberFormat="0" applyFill="0" applyBorder="0" applyAlignment="0" applyProtection="0"/>
    <xf numFmtId="0" fontId="6" fillId="0" borderId="0"/>
    <xf numFmtId="9"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3" fontId="1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62"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cellStyleXfs>
  <cellXfs count="833">
    <xf numFmtId="0" fontId="0" fillId="0" borderId="0" xfId="0"/>
    <xf numFmtId="3" fontId="0" fillId="0" borderId="0" xfId="0" applyNumberFormat="1"/>
    <xf numFmtId="0" fontId="18" fillId="3" borderId="4" xfId="5" applyFont="1" applyFill="1" applyBorder="1" applyAlignment="1" applyProtection="1">
      <alignment horizontal="center" vertical="center" wrapText="1"/>
    </xf>
    <xf numFmtId="0" fontId="18" fillId="3" borderId="2" xfId="5" applyFont="1" applyFill="1" applyBorder="1" applyAlignment="1" applyProtection="1">
      <alignment horizontal="center" vertical="center" wrapText="1"/>
    </xf>
    <xf numFmtId="3" fontId="18" fillId="3" borderId="2" xfId="5" applyNumberFormat="1" applyFont="1" applyFill="1" applyBorder="1" applyAlignment="1" applyProtection="1">
      <alignment horizontal="center" vertical="center" wrapText="1"/>
    </xf>
    <xf numFmtId="0" fontId="18" fillId="3" borderId="2" xfId="5" applyFont="1" applyFill="1" applyBorder="1" applyAlignment="1" applyProtection="1">
      <alignment horizontal="left" vertical="center" wrapText="1"/>
    </xf>
    <xf numFmtId="164" fontId="18" fillId="3" borderId="2" xfId="5" applyNumberFormat="1" applyFont="1" applyFill="1" applyBorder="1" applyAlignment="1" applyProtection="1">
      <alignment horizontal="center" vertical="center" wrapText="1"/>
    </xf>
    <xf numFmtId="3" fontId="18" fillId="3" borderId="2" xfId="5" applyNumberFormat="1" applyFont="1" applyFill="1" applyBorder="1" applyAlignment="1" applyProtection="1">
      <alignment horizontal="center" vertical="center" wrapText="1"/>
      <protection locked="0"/>
    </xf>
    <xf numFmtId="0" fontId="25" fillId="7" borderId="2" xfId="0" applyFont="1" applyFill="1" applyBorder="1"/>
    <xf numFmtId="3" fontId="25" fillId="7" borderId="2" xfId="0" applyNumberFormat="1" applyFont="1" applyFill="1" applyBorder="1"/>
    <xf numFmtId="0" fontId="24" fillId="0" borderId="2" xfId="0" applyFont="1" applyBorder="1"/>
    <xf numFmtId="3" fontId="26" fillId="0" borderId="2" xfId="0" applyNumberFormat="1" applyFont="1" applyBorder="1"/>
    <xf numFmtId="0" fontId="27" fillId="0" borderId="2" xfId="0" applyFont="1" applyBorder="1"/>
    <xf numFmtId="3" fontId="27" fillId="0" borderId="2" xfId="0" applyNumberFormat="1" applyFont="1" applyBorder="1"/>
    <xf numFmtId="0" fontId="24" fillId="0" borderId="2" xfId="0" applyFont="1" applyFill="1" applyBorder="1" applyAlignment="1">
      <alignment wrapText="1"/>
    </xf>
    <xf numFmtId="0" fontId="28" fillId="0" borderId="2" xfId="0" applyFont="1" applyFill="1" applyBorder="1" applyAlignment="1">
      <alignment wrapText="1"/>
    </xf>
    <xf numFmtId="3" fontId="28" fillId="0" borderId="2" xfId="0" applyNumberFormat="1" applyFont="1" applyBorder="1"/>
    <xf numFmtId="0" fontId="28" fillId="0" borderId="2" xfId="0" applyFont="1" applyBorder="1"/>
    <xf numFmtId="4" fontId="30" fillId="3" borderId="4" xfId="5" applyNumberFormat="1" applyFont="1" applyFill="1" applyBorder="1" applyAlignment="1" applyProtection="1">
      <alignment horizontal="center" vertical="center" wrapText="1"/>
    </xf>
    <xf numFmtId="0" fontId="30" fillId="3" borderId="4" xfId="5" applyFont="1" applyFill="1" applyBorder="1" applyAlignment="1" applyProtection="1">
      <alignment horizontal="center" vertical="center" wrapText="1"/>
    </xf>
    <xf numFmtId="0" fontId="24" fillId="6" borderId="2" xfId="0" applyFont="1" applyFill="1" applyBorder="1" applyAlignment="1">
      <alignment horizontal="center" vertical="center" wrapText="1"/>
    </xf>
    <xf numFmtId="3" fontId="26" fillId="0" borderId="0" xfId="0" applyNumberFormat="1" applyFont="1" applyBorder="1"/>
    <xf numFmtId="0" fontId="29" fillId="0" borderId="5" xfId="0" applyFont="1" applyBorder="1" applyAlignment="1">
      <alignment wrapText="1"/>
    </xf>
    <xf numFmtId="0" fontId="29" fillId="0" borderId="0" xfId="0" applyFont="1" applyAlignment="1">
      <alignment wrapText="1"/>
    </xf>
    <xf numFmtId="4" fontId="30" fillId="3" borderId="6" xfId="5" applyNumberFormat="1" applyFont="1" applyFill="1" applyBorder="1" applyAlignment="1" applyProtection="1">
      <alignment horizontal="center" vertical="center" wrapText="1"/>
    </xf>
    <xf numFmtId="3" fontId="18" fillId="0" borderId="0" xfId="5" applyNumberFormat="1" applyFont="1" applyFill="1" applyBorder="1" applyAlignment="1" applyProtection="1">
      <alignment horizontal="center" vertical="center" wrapText="1"/>
    </xf>
    <xf numFmtId="9" fontId="25" fillId="7" borderId="2" xfId="14" applyFont="1" applyFill="1" applyBorder="1" applyAlignment="1">
      <alignment horizontal="center" vertical="center"/>
    </xf>
    <xf numFmtId="9" fontId="16" fillId="0" borderId="2" xfId="14" applyFont="1" applyFill="1" applyBorder="1" applyAlignment="1">
      <alignment horizontal="center" vertical="center"/>
    </xf>
    <xf numFmtId="9" fontId="26" fillId="0" borderId="2" xfId="14" applyFont="1" applyBorder="1" applyAlignment="1">
      <alignment horizontal="center"/>
    </xf>
    <xf numFmtId="9" fontId="26" fillId="0" borderId="2" xfId="14" applyFont="1" applyBorder="1" applyAlignment="1">
      <alignment horizontal="center" vertical="center"/>
    </xf>
    <xf numFmtId="9" fontId="25" fillId="7" borderId="2" xfId="14" applyFont="1" applyFill="1" applyBorder="1" applyAlignment="1">
      <alignment horizontal="center"/>
    </xf>
    <xf numFmtId="9" fontId="27" fillId="0" borderId="2" xfId="14" applyFont="1" applyBorder="1" applyAlignment="1">
      <alignment horizontal="center"/>
    </xf>
    <xf numFmtId="9" fontId="25" fillId="7" borderId="2" xfId="14" applyNumberFormat="1" applyFont="1" applyFill="1" applyBorder="1" applyAlignment="1">
      <alignment horizontal="center" vertical="center"/>
    </xf>
    <xf numFmtId="0" fontId="35" fillId="0" borderId="0" xfId="0" applyFont="1"/>
    <xf numFmtId="0" fontId="36" fillId="6" borderId="2" xfId="0" applyFont="1" applyFill="1" applyBorder="1" applyAlignment="1">
      <alignment horizontal="center" vertical="center" wrapText="1"/>
    </xf>
    <xf numFmtId="3" fontId="33" fillId="0" borderId="0" xfId="5" applyNumberFormat="1" applyFont="1" applyFill="1" applyBorder="1" applyAlignment="1" applyProtection="1">
      <alignment horizontal="center" vertical="center" wrapText="1"/>
    </xf>
    <xf numFmtId="3" fontId="33" fillId="3" borderId="2" xfId="5" applyNumberFormat="1" applyFont="1" applyFill="1" applyBorder="1" applyAlignment="1" applyProtection="1">
      <alignment horizontal="center" vertical="center" wrapText="1"/>
    </xf>
    <xf numFmtId="3" fontId="0" fillId="0" borderId="2" xfId="0" applyNumberFormat="1" applyBorder="1"/>
    <xf numFmtId="0" fontId="39" fillId="0" borderId="2" xfId="0" applyFont="1" applyBorder="1"/>
    <xf numFmtId="3" fontId="40" fillId="0" borderId="2" xfId="0" applyNumberFormat="1" applyFont="1" applyBorder="1"/>
    <xf numFmtId="9" fontId="40" fillId="0" borderId="2" xfId="14" applyFont="1" applyFill="1" applyBorder="1" applyAlignment="1">
      <alignment horizontal="center" vertical="center"/>
    </xf>
    <xf numFmtId="9" fontId="40" fillId="0" borderId="2" xfId="14" applyFont="1" applyBorder="1" applyAlignment="1">
      <alignment horizontal="center"/>
    </xf>
    <xf numFmtId="0" fontId="74" fillId="0" borderId="0" xfId="0" applyFont="1"/>
    <xf numFmtId="0" fontId="74" fillId="0" borderId="0" xfId="0" applyFont="1" applyAlignment="1">
      <alignment wrapText="1"/>
    </xf>
    <xf numFmtId="10" fontId="74" fillId="0" borderId="0" xfId="0" applyNumberFormat="1" applyFont="1"/>
    <xf numFmtId="4" fontId="74" fillId="0" borderId="0" xfId="0" applyNumberFormat="1" applyFont="1"/>
    <xf numFmtId="3" fontId="74" fillId="0" borderId="0" xfId="0" applyNumberFormat="1" applyFont="1"/>
    <xf numFmtId="3" fontId="74" fillId="0" borderId="0" xfId="0" applyNumberFormat="1" applyFont="1" applyProtection="1"/>
    <xf numFmtId="0" fontId="75" fillId="0" borderId="0" xfId="0" applyFont="1"/>
    <xf numFmtId="3" fontId="75" fillId="0" borderId="0" xfId="0" applyNumberFormat="1" applyFont="1"/>
    <xf numFmtId="0" fontId="74" fillId="0" borderId="0" xfId="0" applyFont="1" applyProtection="1"/>
    <xf numFmtId="0" fontId="74" fillId="0" borderId="2" xfId="0" applyFont="1" applyBorder="1" applyProtection="1"/>
    <xf numFmtId="0" fontId="77" fillId="0" borderId="2" xfId="0" applyFont="1" applyBorder="1" applyAlignment="1" applyProtection="1">
      <alignment horizontal="left" vertical="center" wrapText="1"/>
    </xf>
    <xf numFmtId="0" fontId="77" fillId="0" borderId="2" xfId="0" applyFont="1" applyBorder="1" applyProtection="1"/>
    <xf numFmtId="3" fontId="77" fillId="0" borderId="2" xfId="0" applyNumberFormat="1" applyFont="1" applyBorder="1" applyAlignment="1" applyProtection="1">
      <alignment horizontal="center" vertical="center"/>
      <protection locked="0"/>
    </xf>
    <xf numFmtId="3" fontId="20" fillId="0" borderId="2" xfId="0" applyNumberFormat="1" applyFont="1" applyBorder="1" applyAlignment="1" applyProtection="1">
      <alignment horizontal="center" vertical="center"/>
      <protection locked="0"/>
    </xf>
    <xf numFmtId="3" fontId="77" fillId="0" borderId="2" xfId="0" applyNumberFormat="1" applyFont="1" applyBorder="1" applyAlignment="1" applyProtection="1">
      <alignment horizontal="center" vertical="center"/>
    </xf>
    <xf numFmtId="164" fontId="77" fillId="0" borderId="2" xfId="0" applyNumberFormat="1" applyFont="1" applyBorder="1" applyAlignment="1" applyProtection="1">
      <alignment horizontal="center" vertical="center"/>
    </xf>
    <xf numFmtId="3" fontId="77" fillId="0" borderId="2" xfId="0" applyNumberFormat="1" applyFont="1" applyBorder="1" applyProtection="1"/>
    <xf numFmtId="0" fontId="78" fillId="2" borderId="2" xfId="5" applyFont="1" applyFill="1" applyBorder="1" applyAlignment="1" applyProtection="1">
      <alignment horizontal="left" vertical="center" wrapText="1"/>
    </xf>
    <xf numFmtId="0" fontId="78" fillId="2" borderId="2" xfId="5" applyFont="1" applyFill="1" applyBorder="1" applyAlignment="1" applyProtection="1">
      <alignment horizontal="center" vertical="center" wrapText="1"/>
    </xf>
    <xf numFmtId="3" fontId="78" fillId="2" borderId="2" xfId="5" applyNumberFormat="1" applyFont="1" applyFill="1" applyBorder="1" applyAlignment="1" applyProtection="1">
      <alignment horizontal="center" vertical="center" wrapText="1"/>
    </xf>
    <xf numFmtId="164" fontId="18" fillId="4" borderId="2" xfId="5" applyNumberFormat="1" applyFont="1" applyFill="1" applyBorder="1" applyAlignment="1" applyProtection="1">
      <alignment horizontal="center" vertical="center" wrapText="1"/>
    </xf>
    <xf numFmtId="164" fontId="78" fillId="2" borderId="2" xfId="5" applyNumberFormat="1" applyFont="1" applyFill="1" applyBorder="1" applyAlignment="1" applyProtection="1">
      <alignment horizontal="center" vertical="center"/>
      <protection locked="0"/>
    </xf>
    <xf numFmtId="0" fontId="18" fillId="0" borderId="2" xfId="5" applyFont="1" applyFill="1" applyBorder="1" applyAlignment="1" applyProtection="1">
      <alignment horizontal="left" vertical="center" wrapText="1"/>
    </xf>
    <xf numFmtId="0" fontId="18" fillId="0" borderId="2" xfId="5" applyFont="1" applyFill="1" applyBorder="1" applyAlignment="1" applyProtection="1">
      <alignment horizontal="center" vertical="center" wrapText="1"/>
    </xf>
    <xf numFmtId="3" fontId="18" fillId="0" borderId="2" xfId="5" applyNumberFormat="1" applyFont="1" applyFill="1" applyBorder="1" applyAlignment="1" applyProtection="1">
      <alignment horizontal="center" vertical="center" wrapText="1"/>
    </xf>
    <xf numFmtId="164" fontId="18" fillId="0" borderId="2" xfId="5" applyNumberFormat="1" applyFont="1" applyFill="1" applyBorder="1" applyAlignment="1" applyProtection="1">
      <alignment horizontal="center" vertical="center" wrapText="1"/>
    </xf>
    <xf numFmtId="0" fontId="17" fillId="0" borderId="1" xfId="5" applyFont="1" applyFill="1" applyBorder="1" applyAlignment="1" applyProtection="1">
      <alignment horizontal="left" vertical="center" wrapText="1"/>
      <protection locked="0"/>
    </xf>
    <xf numFmtId="0" fontId="17" fillId="0" borderId="2" xfId="5" applyFont="1" applyFill="1" applyBorder="1" applyAlignment="1" applyProtection="1">
      <alignment horizontal="left" vertical="center" wrapText="1"/>
      <protection locked="0"/>
    </xf>
    <xf numFmtId="0" fontId="17" fillId="0" borderId="2" xfId="5" applyFont="1" applyFill="1" applyBorder="1" applyAlignment="1" applyProtection="1">
      <alignment horizontal="center" vertical="center" wrapText="1"/>
      <protection locked="0"/>
    </xf>
    <xf numFmtId="164" fontId="38" fillId="0" borderId="2" xfId="5" applyNumberFormat="1" applyFont="1" applyFill="1" applyBorder="1" applyAlignment="1" applyProtection="1">
      <alignment horizontal="center" vertical="center" wrapText="1"/>
    </xf>
    <xf numFmtId="3" fontId="38" fillId="0" borderId="2" xfId="5" applyNumberFormat="1" applyFont="1" applyFill="1" applyBorder="1" applyAlignment="1" applyProtection="1">
      <alignment horizontal="center" vertical="center" wrapText="1"/>
      <protection locked="0"/>
    </xf>
    <xf numFmtId="164" fontId="17" fillId="0" borderId="2" xfId="5" applyNumberFormat="1" applyFont="1" applyFill="1" applyBorder="1" applyAlignment="1" applyProtection="1">
      <alignment horizontal="center" vertical="center" wrapText="1"/>
    </xf>
    <xf numFmtId="0" fontId="17" fillId="0" borderId="2" xfId="5" applyFont="1" applyFill="1" applyBorder="1" applyAlignment="1" applyProtection="1">
      <alignment horizontal="left" vertical="center" wrapText="1"/>
    </xf>
    <xf numFmtId="0" fontId="17" fillId="0" borderId="2" xfId="5" applyFont="1" applyFill="1" applyBorder="1" applyAlignment="1" applyProtection="1">
      <alignment horizontal="center" vertical="center" wrapText="1"/>
    </xf>
    <xf numFmtId="3" fontId="17" fillId="0" borderId="2" xfId="5" applyNumberFormat="1" applyFont="1" applyFill="1" applyBorder="1" applyAlignment="1" applyProtection="1">
      <alignment horizontal="center" vertical="center" wrapText="1"/>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wrapText="1"/>
    </xf>
    <xf numFmtId="3" fontId="17" fillId="8" borderId="2" xfId="5" applyNumberFormat="1" applyFont="1" applyFill="1" applyBorder="1" applyAlignment="1" applyProtection="1">
      <alignment horizontal="center" vertical="center" wrapText="1"/>
      <protection locked="0"/>
    </xf>
    <xf numFmtId="0" fontId="74" fillId="0" borderId="0" xfId="0" applyFont="1" applyFill="1"/>
    <xf numFmtId="3" fontId="17" fillId="0" borderId="2" xfId="5" applyNumberFormat="1" applyFont="1" applyFill="1" applyBorder="1" applyAlignment="1" applyProtection="1">
      <alignment horizontal="center" vertical="center"/>
    </xf>
    <xf numFmtId="3" fontId="84" fillId="0" borderId="2" xfId="5" applyNumberFormat="1" applyFont="1" applyFill="1" applyBorder="1" applyAlignment="1" applyProtection="1">
      <alignment horizontal="center" vertical="center"/>
      <protection locked="0"/>
    </xf>
    <xf numFmtId="3" fontId="84" fillId="0" borderId="2" xfId="5" applyNumberFormat="1" applyFont="1" applyFill="1" applyBorder="1" applyAlignment="1" applyProtection="1">
      <alignment horizontal="center" vertical="center" wrapText="1"/>
      <protection locked="0"/>
    </xf>
    <xf numFmtId="3" fontId="83" fillId="0" borderId="2" xfId="5" applyNumberFormat="1" applyFont="1" applyFill="1" applyBorder="1" applyAlignment="1" applyProtection="1">
      <alignment horizontal="center" vertical="center" wrapText="1"/>
      <protection locked="0"/>
    </xf>
    <xf numFmtId="3" fontId="78" fillId="4" borderId="2" xfId="5" applyNumberFormat="1" applyFont="1" applyFill="1" applyBorder="1" applyAlignment="1" applyProtection="1">
      <alignment horizontal="center" vertical="center" wrapText="1"/>
      <protection locked="0"/>
    </xf>
    <xf numFmtId="3" fontId="76" fillId="0" borderId="2" xfId="5" applyNumberFormat="1" applyFont="1" applyFill="1" applyBorder="1" applyAlignment="1" applyProtection="1">
      <alignment horizontal="center" vertical="center" wrapText="1"/>
      <protection locked="0"/>
    </xf>
    <xf numFmtId="3" fontId="20" fillId="0" borderId="2" xfId="5" applyNumberFormat="1" applyFont="1" applyFill="1" applyBorder="1" applyAlignment="1" applyProtection="1">
      <alignment horizontal="center" vertical="center" wrapText="1"/>
    </xf>
    <xf numFmtId="0" fontId="84" fillId="0" borderId="2" xfId="5" applyFont="1" applyFill="1" applyBorder="1" applyAlignment="1" applyProtection="1">
      <alignment horizontal="center" vertical="center" wrapText="1"/>
      <protection locked="0"/>
    </xf>
    <xf numFmtId="0" fontId="85" fillId="0" borderId="0" xfId="0" applyFont="1"/>
    <xf numFmtId="3" fontId="18" fillId="8" borderId="2" xfId="5" applyNumberFormat="1" applyFont="1" applyFill="1" applyBorder="1" applyAlignment="1" applyProtection="1">
      <alignment horizontal="center" vertical="center" wrapText="1"/>
      <protection locked="0"/>
    </xf>
    <xf numFmtId="3" fontId="17" fillId="8" borderId="2" xfId="5" applyNumberFormat="1" applyFont="1" applyFill="1" applyBorder="1" applyAlignment="1" applyProtection="1">
      <alignment horizontal="center" vertical="center"/>
      <protection locked="0"/>
    </xf>
    <xf numFmtId="164" fontId="17" fillId="0" borderId="2" xfId="5" applyNumberFormat="1" applyFont="1" applyFill="1" applyBorder="1" applyAlignment="1" applyProtection="1">
      <alignment horizontal="center" vertical="center"/>
      <protection locked="0"/>
    </xf>
    <xf numFmtId="164" fontId="18" fillId="0" borderId="2" xfId="5" applyNumberFormat="1" applyFont="1" applyFill="1" applyBorder="1" applyAlignment="1" applyProtection="1">
      <alignment horizontal="center" vertical="center"/>
      <protection locked="0"/>
    </xf>
    <xf numFmtId="0" fontId="74" fillId="0" borderId="0" xfId="0" applyFont="1" applyFill="1" applyProtection="1"/>
    <xf numFmtId="0" fontId="75" fillId="0" borderId="0" xfId="0" applyFont="1" applyFill="1" applyProtection="1"/>
    <xf numFmtId="0" fontId="75" fillId="0" borderId="0" xfId="0" applyFont="1" applyFill="1"/>
    <xf numFmtId="0" fontId="83" fillId="0" borderId="2" xfId="5" applyFont="1" applyFill="1" applyBorder="1" applyAlignment="1" applyProtection="1">
      <alignment horizontal="left" vertical="center" wrapText="1"/>
      <protection locked="0"/>
    </xf>
    <xf numFmtId="0" fontId="83" fillId="0" borderId="2" xfId="5" applyFont="1" applyFill="1" applyBorder="1" applyAlignment="1" applyProtection="1">
      <alignment horizontal="center" vertical="center" wrapText="1"/>
      <protection locked="0"/>
    </xf>
    <xf numFmtId="3" fontId="18" fillId="0" borderId="2" xfId="5" applyNumberFormat="1" applyFont="1" applyFill="1" applyBorder="1" applyAlignment="1" applyProtection="1">
      <alignment horizontal="center" vertical="center"/>
      <protection locked="0"/>
    </xf>
    <xf numFmtId="0" fontId="88" fillId="0" borderId="0" xfId="0" applyFont="1" applyFill="1" applyProtection="1"/>
    <xf numFmtId="3" fontId="38" fillId="8" borderId="2" xfId="5" applyNumberFormat="1" applyFont="1" applyFill="1" applyBorder="1" applyAlignment="1" applyProtection="1">
      <alignment horizontal="center" vertical="center" wrapText="1"/>
      <protection locked="0"/>
    </xf>
    <xf numFmtId="16" fontId="18" fillId="3" borderId="2" xfId="5" applyNumberFormat="1" applyFont="1" applyFill="1" applyBorder="1" applyAlignment="1" applyProtection="1">
      <alignment horizontal="center" vertical="center" wrapText="1"/>
    </xf>
    <xf numFmtId="0" fontId="17" fillId="8" borderId="2" xfId="5" applyFont="1" applyFill="1" applyBorder="1" applyAlignment="1" applyProtection="1">
      <alignment horizontal="left" vertical="center" wrapText="1"/>
      <protection locked="0"/>
    </xf>
    <xf numFmtId="3" fontId="17" fillId="8" borderId="2" xfId="13" applyNumberFormat="1" applyFont="1" applyFill="1" applyBorder="1" applyAlignment="1">
      <alignment horizontal="center" vertical="center"/>
    </xf>
    <xf numFmtId="3" fontId="18" fillId="8" borderId="2" xfId="5" applyNumberFormat="1" applyFont="1" applyFill="1" applyBorder="1" applyAlignment="1" applyProtection="1">
      <alignment horizontal="center" vertical="center" wrapText="1"/>
    </xf>
    <xf numFmtId="3" fontId="17" fillId="8" borderId="2" xfId="5" applyNumberFormat="1" applyFont="1" applyFill="1" applyBorder="1" applyAlignment="1" applyProtection="1">
      <alignment horizontal="center" vertical="center" wrapText="1"/>
    </xf>
    <xf numFmtId="3" fontId="17" fillId="0" borderId="2" xfId="13" applyNumberFormat="1" applyFont="1" applyFill="1" applyBorder="1" applyAlignment="1">
      <alignment horizontal="center" vertical="center"/>
    </xf>
    <xf numFmtId="3" fontId="20" fillId="8" borderId="2" xfId="5" applyNumberFormat="1" applyFont="1" applyFill="1" applyBorder="1" applyAlignment="1" applyProtection="1">
      <alignment horizontal="center" vertical="center" wrapText="1"/>
      <protection locked="0"/>
    </xf>
    <xf numFmtId="1" fontId="17" fillId="0" borderId="2" xfId="5" applyNumberFormat="1" applyFont="1" applyFill="1" applyBorder="1" applyAlignment="1" applyProtection="1">
      <alignment horizontal="center" vertical="center" wrapText="1"/>
      <protection locked="0"/>
    </xf>
    <xf numFmtId="3" fontId="17" fillId="0" borderId="2" xfId="0" applyNumberFormat="1" applyFont="1" applyBorder="1" applyAlignment="1" applyProtection="1">
      <alignment horizontal="center" vertical="center"/>
      <protection locked="0"/>
    </xf>
    <xf numFmtId="3" fontId="17" fillId="0" borderId="2" xfId="0" applyNumberFormat="1" applyFont="1" applyBorder="1" applyAlignment="1" applyProtection="1">
      <alignment horizontal="center" vertical="center"/>
    </xf>
    <xf numFmtId="165" fontId="17" fillId="0" borderId="2" xfId="5" applyNumberFormat="1" applyFont="1" applyFill="1" applyBorder="1" applyAlignment="1" applyProtection="1">
      <alignment horizontal="center" vertical="center" wrapText="1"/>
      <protection locked="0"/>
    </xf>
    <xf numFmtId="3" fontId="17" fillId="0" borderId="2" xfId="0" applyNumberFormat="1" applyFont="1" applyFill="1" applyBorder="1" applyAlignment="1" applyProtection="1">
      <alignment horizontal="center" vertical="center"/>
    </xf>
    <xf numFmtId="167" fontId="17" fillId="0" borderId="2" xfId="5" applyNumberFormat="1" applyFont="1" applyFill="1" applyBorder="1" applyAlignment="1" applyProtection="1">
      <alignment horizontal="center" vertical="center" wrapText="1"/>
      <protection locked="0"/>
    </xf>
    <xf numFmtId="3" fontId="78" fillId="4" borderId="2" xfId="5" applyNumberFormat="1" applyFont="1" applyFill="1" applyBorder="1" applyAlignment="1" applyProtection="1">
      <alignment horizontal="center" vertical="center" wrapText="1"/>
    </xf>
    <xf numFmtId="1" fontId="38" fillId="0" borderId="2" xfId="5" applyNumberFormat="1" applyFont="1" applyFill="1" applyBorder="1" applyAlignment="1" applyProtection="1">
      <alignment horizontal="center" vertical="center" wrapText="1"/>
      <protection locked="0"/>
    </xf>
    <xf numFmtId="3" fontId="18" fillId="0" borderId="2" xfId="0" applyNumberFormat="1" applyFont="1" applyFill="1" applyBorder="1" applyAlignment="1" applyProtection="1">
      <alignment horizontal="center" vertical="center"/>
    </xf>
    <xf numFmtId="3" fontId="38" fillId="0" borderId="2" xfId="0" applyNumberFormat="1" applyFont="1" applyFill="1" applyBorder="1" applyAlignment="1" applyProtection="1">
      <alignment horizontal="center" vertical="center"/>
      <protection locked="0"/>
    </xf>
    <xf numFmtId="164" fontId="76" fillId="0" borderId="2" xfId="5" applyNumberFormat="1" applyFont="1" applyFill="1" applyBorder="1" applyAlignment="1" applyProtection="1">
      <alignment horizontal="center" vertical="center"/>
      <protection locked="0"/>
    </xf>
    <xf numFmtId="164" fontId="84" fillId="0" borderId="2" xfId="5" applyNumberFormat="1" applyFont="1" applyFill="1" applyBorder="1" applyAlignment="1" applyProtection="1">
      <alignment horizontal="center" vertical="center"/>
      <protection locked="0"/>
    </xf>
    <xf numFmtId="164" fontId="20" fillId="0" borderId="2" xfId="14" applyNumberFormat="1" applyFont="1" applyBorder="1" applyAlignment="1" applyProtection="1">
      <alignment horizontal="center" vertical="center"/>
      <protection locked="0"/>
    </xf>
    <xf numFmtId="164" fontId="18" fillId="3" borderId="2" xfId="14" applyNumberFormat="1" applyFont="1" applyFill="1" applyBorder="1" applyAlignment="1" applyProtection="1">
      <alignment horizontal="center" vertical="center" wrapText="1"/>
      <protection locked="0"/>
    </xf>
    <xf numFmtId="164" fontId="78" fillId="2" borderId="2" xfId="14" applyNumberFormat="1" applyFont="1" applyFill="1" applyBorder="1" applyAlignment="1" applyProtection="1">
      <alignment horizontal="center" vertical="center" wrapText="1"/>
      <protection locked="0"/>
    </xf>
    <xf numFmtId="164" fontId="18" fillId="0" borderId="2" xfId="14" applyNumberFormat="1" applyFont="1" applyFill="1" applyBorder="1" applyAlignment="1" applyProtection="1">
      <alignment horizontal="center" vertical="center" wrapText="1"/>
      <protection locked="0"/>
    </xf>
    <xf numFmtId="164" fontId="17" fillId="0" borderId="2" xfId="14" applyNumberFormat="1" applyFont="1" applyFill="1" applyBorder="1" applyAlignment="1" applyProtection="1">
      <alignment horizontal="center" vertical="center"/>
      <protection locked="0"/>
    </xf>
    <xf numFmtId="164" fontId="78" fillId="4" borderId="2" xfId="14" applyNumberFormat="1" applyFont="1" applyFill="1" applyBorder="1" applyAlignment="1" applyProtection="1">
      <alignment horizontal="center" vertical="center" wrapText="1"/>
      <protection locked="0"/>
    </xf>
    <xf numFmtId="164" fontId="38" fillId="0" borderId="2" xfId="14" applyNumberFormat="1" applyFont="1" applyBorder="1" applyAlignment="1" applyProtection="1">
      <alignment horizontal="center" vertical="center"/>
      <protection locked="0"/>
    </xf>
    <xf numFmtId="164" fontId="77" fillId="0" borderId="2" xfId="14" applyNumberFormat="1" applyFont="1" applyBorder="1" applyAlignment="1" applyProtection="1">
      <alignment horizontal="center" vertical="center"/>
    </xf>
    <xf numFmtId="164" fontId="18" fillId="3" borderId="2" xfId="14" applyNumberFormat="1" applyFont="1" applyFill="1" applyBorder="1" applyAlignment="1" applyProtection="1">
      <alignment horizontal="center" vertical="center" wrapText="1"/>
    </xf>
    <xf numFmtId="164" fontId="78" fillId="2" borderId="2" xfId="14" applyNumberFormat="1" applyFont="1" applyFill="1" applyBorder="1" applyAlignment="1" applyProtection="1">
      <alignment horizontal="center" vertical="center" wrapText="1"/>
    </xf>
    <xf numFmtId="164" fontId="17" fillId="0" borderId="2" xfId="14" applyNumberFormat="1" applyFont="1" applyFill="1" applyBorder="1" applyAlignment="1" applyProtection="1">
      <alignment horizontal="center" vertical="center"/>
    </xf>
    <xf numFmtId="164" fontId="38" fillId="0" borderId="2" xfId="14" applyNumberFormat="1" applyFont="1" applyFill="1" applyBorder="1" applyAlignment="1" applyProtection="1">
      <alignment horizontal="center" vertical="center"/>
      <protection locked="0"/>
    </xf>
    <xf numFmtId="164" fontId="18" fillId="0" borderId="2" xfId="14" applyNumberFormat="1" applyFont="1" applyFill="1" applyBorder="1" applyAlignment="1" applyProtection="1">
      <alignment horizontal="center" vertical="center" wrapText="1"/>
    </xf>
    <xf numFmtId="164" fontId="17" fillId="0" borderId="2" xfId="14" applyNumberFormat="1" applyFont="1" applyBorder="1" applyAlignment="1" applyProtection="1">
      <alignment horizontal="center" vertical="center"/>
      <protection locked="0"/>
    </xf>
    <xf numFmtId="164" fontId="17" fillId="0" borderId="2" xfId="14" applyNumberFormat="1" applyFont="1" applyBorder="1" applyAlignment="1" applyProtection="1">
      <alignment horizontal="center" vertical="center"/>
    </xf>
    <xf numFmtId="164" fontId="17" fillId="0" borderId="2" xfId="14" applyNumberFormat="1" applyFont="1" applyFill="1" applyBorder="1" applyAlignment="1" applyProtection="1">
      <alignment horizontal="center" vertical="center" wrapText="1"/>
    </xf>
    <xf numFmtId="164" fontId="89" fillId="0" borderId="2" xfId="14" applyNumberFormat="1" applyFont="1" applyBorder="1" applyAlignment="1">
      <alignment horizontal="center" vertical="center"/>
    </xf>
    <xf numFmtId="0" fontId="90" fillId="8" borderId="2" xfId="0" applyFont="1" applyFill="1" applyBorder="1" applyAlignment="1">
      <alignment horizontal="left" vertical="center" wrapText="1"/>
    </xf>
    <xf numFmtId="3" fontId="90" fillId="8" borderId="2" xfId="0" applyNumberFormat="1" applyFont="1" applyFill="1" applyBorder="1" applyAlignment="1">
      <alignment horizontal="left" vertical="center" wrapText="1"/>
    </xf>
    <xf numFmtId="3" fontId="90" fillId="0" borderId="2" xfId="0" applyNumberFormat="1" applyFont="1" applyFill="1" applyBorder="1" applyAlignment="1">
      <alignment horizontal="left" vertical="center" wrapText="1"/>
    </xf>
    <xf numFmtId="3" fontId="91" fillId="0" borderId="2" xfId="0" applyNumberFormat="1" applyFont="1" applyFill="1" applyBorder="1" applyAlignment="1">
      <alignment horizontal="left" vertical="center" wrapText="1"/>
    </xf>
    <xf numFmtId="3" fontId="91" fillId="8" borderId="2" xfId="0" applyNumberFormat="1" applyFont="1" applyFill="1" applyBorder="1" applyAlignment="1">
      <alignment horizontal="left" vertical="center" wrapText="1"/>
    </xf>
    <xf numFmtId="0" fontId="91" fillId="0" borderId="2" xfId="0" applyFont="1" applyFill="1" applyBorder="1" applyAlignment="1">
      <alignment horizontal="left" vertical="center" wrapText="1"/>
    </xf>
    <xf numFmtId="0" fontId="91" fillId="8" borderId="2" xfId="15" applyFont="1" applyFill="1" applyBorder="1" applyAlignment="1">
      <alignment horizontal="left" vertical="center" wrapText="1"/>
    </xf>
    <xf numFmtId="0" fontId="91" fillId="0" borderId="2" xfId="15" applyFont="1" applyFill="1" applyBorder="1" applyAlignment="1">
      <alignment horizontal="left" vertical="center" wrapText="1"/>
    </xf>
    <xf numFmtId="0" fontId="90" fillId="0" borderId="2" xfId="15" applyFont="1" applyFill="1" applyBorder="1" applyAlignment="1">
      <alignment horizontal="left" vertical="center" wrapText="1"/>
    </xf>
    <xf numFmtId="3" fontId="91" fillId="0" borderId="2" xfId="15" applyNumberFormat="1" applyFont="1" applyFill="1" applyBorder="1" applyAlignment="1">
      <alignment horizontal="left" vertical="center" wrapText="1"/>
    </xf>
    <xf numFmtId="0" fontId="90" fillId="8" borderId="2" xfId="15" applyFont="1" applyFill="1" applyBorder="1" applyAlignment="1">
      <alignment horizontal="left" vertical="center" wrapText="1"/>
    </xf>
    <xf numFmtId="0" fontId="95" fillId="8" borderId="2" xfId="15" applyFont="1" applyFill="1" applyBorder="1" applyAlignment="1">
      <alignment horizontal="left" vertical="center" wrapText="1"/>
    </xf>
    <xf numFmtId="0" fontId="96" fillId="0" borderId="2" xfId="15" applyFont="1" applyFill="1" applyBorder="1" applyAlignment="1">
      <alignment horizontal="left" vertical="center" wrapText="1"/>
    </xf>
    <xf numFmtId="0" fontId="97" fillId="0" borderId="2" xfId="15" applyFont="1" applyFill="1" applyBorder="1" applyAlignment="1">
      <alignment horizontal="left" vertical="center" wrapText="1"/>
    </xf>
    <xf numFmtId="3" fontId="90" fillId="8" borderId="2" xfId="15" applyNumberFormat="1" applyFont="1" applyFill="1" applyBorder="1" applyAlignment="1">
      <alignment horizontal="left" vertical="top" wrapText="1"/>
    </xf>
    <xf numFmtId="3" fontId="91" fillId="8" borderId="2" xfId="15" applyNumberFormat="1" applyFont="1" applyFill="1" applyBorder="1" applyAlignment="1">
      <alignment horizontal="justify" vertical="top" wrapText="1"/>
    </xf>
    <xf numFmtId="3" fontId="90" fillId="8" borderId="2" xfId="15" applyNumberFormat="1" applyFont="1" applyFill="1" applyBorder="1" applyAlignment="1">
      <alignment horizontal="left" vertical="center" wrapText="1"/>
    </xf>
    <xf numFmtId="0" fontId="91" fillId="0" borderId="2" xfId="15" applyFont="1" applyFill="1" applyBorder="1" applyAlignment="1">
      <alignment horizontal="center" vertical="center" wrapText="1"/>
    </xf>
    <xf numFmtId="0" fontId="92" fillId="0" borderId="2" xfId="15" applyFont="1" applyBorder="1" applyAlignment="1">
      <alignment horizontal="left" vertical="center" wrapText="1"/>
    </xf>
    <xf numFmtId="0" fontId="92" fillId="50" borderId="2" xfId="15" applyFont="1" applyFill="1" applyBorder="1" applyAlignment="1">
      <alignment horizontal="justify" vertical="center" wrapText="1"/>
    </xf>
    <xf numFmtId="0" fontId="92" fillId="0" borderId="2" xfId="15" applyFont="1" applyBorder="1" applyAlignment="1">
      <alignment horizontal="justify" vertical="center" wrapText="1"/>
    </xf>
    <xf numFmtId="3" fontId="98" fillId="8" borderId="2" xfId="15" applyNumberFormat="1" applyFont="1" applyFill="1" applyBorder="1" applyAlignment="1">
      <alignment horizontal="left" vertical="center" wrapText="1"/>
    </xf>
    <xf numFmtId="0" fontId="91" fillId="8" borderId="2" xfId="15" applyNumberFormat="1" applyFont="1" applyFill="1" applyBorder="1" applyAlignment="1">
      <alignment wrapText="1"/>
    </xf>
    <xf numFmtId="0" fontId="91" fillId="8" borderId="2" xfId="15" applyFont="1" applyFill="1" applyBorder="1" applyAlignment="1">
      <alignment wrapText="1"/>
    </xf>
    <xf numFmtId="0" fontId="90" fillId="0" borderId="2" xfId="15" applyFont="1" applyBorder="1" applyAlignment="1">
      <alignment horizontal="left" vertical="center" wrapText="1"/>
    </xf>
    <xf numFmtId="3" fontId="91" fillId="8" borderId="2" xfId="15" applyNumberFormat="1" applyFont="1" applyFill="1" applyBorder="1" applyAlignment="1">
      <alignment horizontal="left" vertical="center" wrapText="1"/>
    </xf>
    <xf numFmtId="4" fontId="91" fillId="8" borderId="2" xfId="0" applyNumberFormat="1" applyFont="1" applyFill="1" applyBorder="1" applyAlignment="1">
      <alignment horizontal="left" vertical="center" wrapText="1"/>
    </xf>
    <xf numFmtId="164" fontId="17" fillId="0" borderId="2" xfId="5" applyNumberFormat="1" applyFont="1" applyFill="1" applyBorder="1" applyAlignment="1" applyProtection="1">
      <alignment horizontal="center" vertical="center" wrapText="1"/>
      <protection locked="0"/>
    </xf>
    <xf numFmtId="3" fontId="80" fillId="0" borderId="2" xfId="0" applyNumberFormat="1" applyFont="1" applyBorder="1" applyAlignment="1" applyProtection="1">
      <alignment horizontal="center" vertical="center"/>
    </xf>
    <xf numFmtId="164" fontId="80" fillId="0" borderId="2" xfId="0" applyNumberFormat="1" applyFont="1" applyBorder="1" applyAlignment="1" applyProtection="1">
      <alignment horizontal="center" vertical="center"/>
    </xf>
    <xf numFmtId="3" fontId="77" fillId="0" borderId="2" xfId="0" applyNumberFormat="1" applyFont="1" applyFill="1" applyBorder="1" applyAlignment="1" applyProtection="1">
      <alignment horizontal="center" vertical="center"/>
    </xf>
    <xf numFmtId="3" fontId="80" fillId="0" borderId="2" xfId="0" applyNumberFormat="1" applyFont="1" applyFill="1" applyBorder="1" applyAlignment="1" applyProtection="1">
      <alignment horizontal="center" vertical="center"/>
    </xf>
    <xf numFmtId="9" fontId="17" fillId="0" borderId="2" xfId="14" applyFont="1" applyFill="1" applyBorder="1" applyAlignment="1" applyProtection="1">
      <alignment horizontal="center" vertical="center"/>
      <protection locked="0"/>
    </xf>
    <xf numFmtId="9" fontId="17" fillId="0" borderId="2" xfId="5" applyNumberFormat="1" applyFont="1" applyFill="1" applyBorder="1" applyAlignment="1" applyProtection="1">
      <alignment horizontal="center" vertical="center"/>
      <protection locked="0"/>
    </xf>
    <xf numFmtId="164" fontId="99" fillId="0" borderId="2" xfId="14" applyNumberFormat="1" applyFont="1" applyFill="1" applyBorder="1" applyAlignment="1" applyProtection="1">
      <alignment horizontal="center" vertical="center"/>
      <protection locked="0"/>
    </xf>
    <xf numFmtId="3" fontId="99" fillId="0" borderId="2" xfId="5" applyNumberFormat="1" applyFont="1" applyFill="1" applyBorder="1" applyAlignment="1" applyProtection="1">
      <alignment horizontal="center" vertical="center"/>
      <protection locked="0"/>
    </xf>
    <xf numFmtId="164" fontId="77" fillId="0" borderId="2" xfId="0" applyNumberFormat="1" applyFont="1" applyFill="1" applyBorder="1" applyAlignment="1" applyProtection="1">
      <alignment horizontal="center" vertical="center"/>
    </xf>
    <xf numFmtId="164" fontId="100" fillId="0" borderId="2" xfId="0" applyNumberFormat="1" applyFont="1" applyFill="1" applyBorder="1" applyAlignment="1" applyProtection="1">
      <alignment horizontal="center" vertical="center"/>
    </xf>
    <xf numFmtId="164" fontId="99" fillId="0" borderId="2" xfId="5" applyNumberFormat="1" applyFont="1" applyFill="1" applyBorder="1" applyAlignment="1" applyProtection="1">
      <alignment horizontal="center" vertical="center" wrapText="1"/>
    </xf>
    <xf numFmtId="164" fontId="80" fillId="0" borderId="2" xfId="0" applyNumberFormat="1" applyFont="1" applyFill="1" applyBorder="1" applyAlignment="1" applyProtection="1">
      <alignment horizontal="center" vertical="center"/>
    </xf>
    <xf numFmtId="0" fontId="17" fillId="53" borderId="2" xfId="5" applyFont="1" applyFill="1" applyBorder="1" applyAlignment="1" applyProtection="1">
      <alignment horizontal="center" vertical="center" wrapText="1"/>
      <protection locked="0"/>
    </xf>
    <xf numFmtId="164" fontId="17" fillId="53" borderId="2" xfId="14" applyNumberFormat="1" applyFont="1" applyFill="1" applyBorder="1" applyAlignment="1" applyProtection="1">
      <alignment horizontal="center" vertical="center"/>
      <protection locked="0"/>
    </xf>
    <xf numFmtId="164" fontId="38" fillId="53" borderId="2" xfId="14" applyNumberFormat="1" applyFont="1" applyFill="1" applyBorder="1" applyAlignment="1" applyProtection="1">
      <alignment horizontal="center" vertical="center"/>
      <protection locked="0"/>
    </xf>
    <xf numFmtId="164" fontId="17" fillId="53" borderId="2" xfId="5" applyNumberFormat="1" applyFont="1" applyFill="1" applyBorder="1" applyAlignment="1" applyProtection="1">
      <alignment horizontal="center" vertical="center" wrapText="1"/>
    </xf>
    <xf numFmtId="3" fontId="17" fillId="53" borderId="2" xfId="5" applyNumberFormat="1" applyFont="1" applyFill="1" applyBorder="1" applyAlignment="1" applyProtection="1">
      <alignment horizontal="center" vertical="center" wrapText="1"/>
      <protection locked="0"/>
    </xf>
    <xf numFmtId="1" fontId="17" fillId="53" borderId="2" xfId="5" applyNumberFormat="1" applyFont="1" applyFill="1" applyBorder="1" applyAlignment="1" applyProtection="1">
      <alignment horizontal="center" vertical="center" wrapText="1"/>
      <protection locked="0"/>
    </xf>
    <xf numFmtId="3" fontId="17" fillId="53" borderId="2" xfId="0" applyNumberFormat="1" applyFont="1" applyFill="1" applyBorder="1" applyAlignment="1" applyProtection="1">
      <alignment horizontal="center" vertical="center"/>
      <protection locked="0"/>
    </xf>
    <xf numFmtId="3" fontId="80" fillId="53" borderId="2" xfId="0" applyNumberFormat="1" applyFont="1" applyFill="1" applyBorder="1" applyAlignment="1" applyProtection="1">
      <alignment horizontal="center" vertical="center"/>
    </xf>
    <xf numFmtId="164" fontId="80" fillId="53" borderId="2" xfId="0" applyNumberFormat="1" applyFont="1" applyFill="1" applyBorder="1" applyAlignment="1" applyProtection="1">
      <alignment horizontal="center" vertical="center"/>
    </xf>
    <xf numFmtId="0" fontId="91" fillId="53" borderId="2" xfId="15" applyFont="1" applyFill="1" applyBorder="1" applyAlignment="1">
      <alignment horizontal="left" vertical="center" wrapText="1"/>
    </xf>
    <xf numFmtId="9" fontId="17" fillId="53" borderId="2" xfId="14" applyFont="1" applyFill="1" applyBorder="1" applyAlignment="1" applyProtection="1">
      <alignment horizontal="center" vertical="center"/>
      <protection locked="0"/>
    </xf>
    <xf numFmtId="164" fontId="17" fillId="53" borderId="2" xfId="5" applyNumberFormat="1" applyFont="1" applyFill="1" applyBorder="1" applyAlignment="1" applyProtection="1">
      <alignment horizontal="center" vertical="center" wrapText="1"/>
      <protection locked="0"/>
    </xf>
    <xf numFmtId="0" fontId="90" fillId="53" borderId="2" xfId="15" applyFont="1" applyFill="1" applyBorder="1" applyAlignment="1">
      <alignment horizontal="left" vertical="center" wrapText="1"/>
    </xf>
    <xf numFmtId="164" fontId="84" fillId="53" borderId="2" xfId="5" applyNumberFormat="1" applyFont="1" applyFill="1" applyBorder="1" applyAlignment="1" applyProtection="1">
      <alignment horizontal="center" vertical="center"/>
      <protection locked="0"/>
    </xf>
    <xf numFmtId="9" fontId="17" fillId="8" borderId="2" xfId="14" applyFont="1" applyFill="1" applyBorder="1" applyAlignment="1" applyProtection="1">
      <alignment horizontal="center" vertical="center"/>
      <protection locked="0"/>
    </xf>
    <xf numFmtId="164" fontId="20" fillId="0" borderId="2" xfId="14" applyNumberFormat="1" applyFont="1" applyFill="1" applyBorder="1" applyAlignment="1" applyProtection="1">
      <alignment horizontal="center" vertical="center"/>
      <protection locked="0"/>
    </xf>
    <xf numFmtId="3" fontId="20" fillId="0" borderId="2" xfId="5" applyNumberFormat="1" applyFont="1" applyFill="1" applyBorder="1" applyAlignment="1" applyProtection="1">
      <alignment horizontal="center" vertical="center"/>
      <protection locked="0"/>
    </xf>
    <xf numFmtId="3" fontId="17" fillId="53" borderId="2" xfId="0" applyNumberFormat="1" applyFont="1" applyFill="1" applyBorder="1" applyAlignment="1">
      <alignment horizontal="center" vertical="center"/>
    </xf>
    <xf numFmtId="164" fontId="17" fillId="53" borderId="2" xfId="14" applyNumberFormat="1" applyFont="1" applyFill="1" applyBorder="1" applyAlignment="1" applyProtection="1">
      <alignment horizontal="center" vertical="center"/>
    </xf>
    <xf numFmtId="9" fontId="17" fillId="53" borderId="2" xfId="5" applyNumberFormat="1" applyFont="1" applyFill="1" applyBorder="1" applyAlignment="1" applyProtection="1">
      <alignment horizontal="center" vertical="center"/>
      <protection locked="0"/>
    </xf>
    <xf numFmtId="3" fontId="84" fillId="53" borderId="2" xfId="5" applyNumberFormat="1" applyFont="1" applyFill="1" applyBorder="1" applyAlignment="1" applyProtection="1">
      <alignment horizontal="center" vertical="center" wrapText="1"/>
      <protection locked="0"/>
    </xf>
    <xf numFmtId="3" fontId="17" fillId="53" borderId="2" xfId="0" applyNumberFormat="1" applyFont="1" applyFill="1" applyBorder="1" applyAlignment="1" applyProtection="1">
      <alignment horizontal="center" vertical="center"/>
    </xf>
    <xf numFmtId="3" fontId="90" fillId="53" borderId="2" xfId="0" applyNumberFormat="1" applyFont="1" applyFill="1" applyBorder="1" applyAlignment="1">
      <alignment horizontal="left" vertical="center" wrapText="1"/>
    </xf>
    <xf numFmtId="3" fontId="38" fillId="53" borderId="2" xfId="5" applyNumberFormat="1" applyFont="1" applyFill="1" applyBorder="1" applyAlignment="1" applyProtection="1">
      <alignment horizontal="center" vertical="center" wrapText="1"/>
      <protection locked="0"/>
    </xf>
    <xf numFmtId="3" fontId="17" fillId="53" borderId="2" xfId="13" applyNumberFormat="1" applyFont="1" applyFill="1" applyBorder="1" applyAlignment="1">
      <alignment horizontal="center" vertical="center"/>
    </xf>
    <xf numFmtId="3" fontId="90" fillId="53" borderId="2" xfId="15" applyNumberFormat="1" applyFont="1" applyFill="1" applyBorder="1" applyAlignment="1">
      <alignment horizontal="left" vertical="top" wrapText="1"/>
    </xf>
    <xf numFmtId="0" fontId="91" fillId="53" borderId="2" xfId="15" applyFont="1" applyFill="1" applyBorder="1" applyAlignment="1">
      <alignment vertical="center" wrapText="1"/>
    </xf>
    <xf numFmtId="3" fontId="90" fillId="53" borderId="2" xfId="15" applyNumberFormat="1" applyFont="1" applyFill="1" applyBorder="1" applyAlignment="1">
      <alignment horizontal="left" vertical="center" wrapText="1"/>
    </xf>
    <xf numFmtId="164" fontId="18" fillId="0" borderId="2" xfId="5" applyNumberFormat="1" applyFont="1" applyFill="1" applyBorder="1" applyAlignment="1" applyProtection="1">
      <alignment horizontal="center" vertical="center" wrapText="1"/>
      <protection locked="0"/>
    </xf>
    <xf numFmtId="164" fontId="17" fillId="53" borderId="2" xfId="5" applyNumberFormat="1" applyFont="1" applyFill="1" applyBorder="1" applyAlignment="1" applyProtection="1">
      <alignment horizontal="center" vertical="center"/>
      <protection locked="0"/>
    </xf>
    <xf numFmtId="3" fontId="98" fillId="8" borderId="2" xfId="15" applyNumberFormat="1" applyFont="1" applyFill="1" applyBorder="1" applyAlignment="1">
      <alignment horizontal="center" vertical="center" wrapText="1"/>
    </xf>
    <xf numFmtId="3" fontId="90" fillId="8" borderId="2" xfId="15" applyNumberFormat="1" applyFont="1" applyFill="1" applyBorder="1" applyAlignment="1">
      <alignment horizontal="center" vertical="center" wrapText="1"/>
    </xf>
    <xf numFmtId="3" fontId="91" fillId="0" borderId="2" xfId="0" applyNumberFormat="1" applyFont="1" applyFill="1" applyBorder="1" applyAlignment="1">
      <alignment horizontal="center" vertical="center" wrapText="1"/>
    </xf>
    <xf numFmtId="3" fontId="91" fillId="8" borderId="2" xfId="0" applyNumberFormat="1" applyFont="1" applyFill="1" applyBorder="1" applyAlignment="1">
      <alignment horizontal="center" vertical="center" wrapText="1"/>
    </xf>
    <xf numFmtId="3" fontId="91" fillId="8" borderId="2" xfId="15" applyNumberFormat="1" applyFont="1" applyFill="1" applyBorder="1" applyAlignment="1">
      <alignment horizontal="center" vertical="center" wrapText="1"/>
    </xf>
    <xf numFmtId="3" fontId="90" fillId="53" borderId="2" xfId="0" applyNumberFormat="1" applyFont="1" applyFill="1" applyBorder="1" applyAlignment="1">
      <alignment horizontal="center" vertical="center" wrapText="1"/>
    </xf>
    <xf numFmtId="3" fontId="90" fillId="53" borderId="2" xfId="15" applyNumberFormat="1" applyFont="1" applyFill="1" applyBorder="1" applyAlignment="1">
      <alignment horizontal="center" vertical="center" wrapText="1"/>
    </xf>
    <xf numFmtId="3" fontId="95" fillId="8" borderId="2" xfId="15" applyNumberFormat="1" applyFont="1" applyFill="1" applyBorder="1" applyAlignment="1">
      <alignment horizontal="center" vertical="center" wrapText="1"/>
    </xf>
    <xf numFmtId="3" fontId="78" fillId="2" borderId="2" xfId="5" applyNumberFormat="1" applyFont="1" applyFill="1" applyBorder="1" applyAlignment="1" applyProtection="1">
      <alignment horizontal="center" vertical="center"/>
      <protection locked="0"/>
    </xf>
    <xf numFmtId="3" fontId="76" fillId="0" borderId="2" xfId="5" applyNumberFormat="1" applyFont="1" applyFill="1" applyBorder="1" applyAlignment="1" applyProtection="1">
      <alignment horizontal="center" vertical="center"/>
      <protection locked="0"/>
    </xf>
    <xf numFmtId="3" fontId="91" fillId="53" borderId="2" xfId="15" applyNumberFormat="1" applyFont="1" applyFill="1" applyBorder="1" applyAlignment="1">
      <alignment horizontal="left" vertical="center" wrapText="1"/>
    </xf>
    <xf numFmtId="3" fontId="90" fillId="0" borderId="2" xfId="15" applyNumberFormat="1" applyFont="1" applyFill="1" applyBorder="1" applyAlignment="1">
      <alignment horizontal="left" vertical="center" wrapText="1"/>
    </xf>
    <xf numFmtId="3" fontId="84" fillId="53" borderId="2" xfId="5" applyNumberFormat="1" applyFont="1" applyFill="1" applyBorder="1" applyAlignment="1" applyProtection="1">
      <alignment horizontal="center" vertical="center"/>
      <protection locked="0"/>
    </xf>
    <xf numFmtId="3" fontId="91" fillId="8" borderId="2" xfId="15" applyNumberFormat="1" applyFont="1" applyFill="1" applyBorder="1" applyAlignment="1">
      <alignment wrapText="1"/>
    </xf>
    <xf numFmtId="3" fontId="90" fillId="0" borderId="2" xfId="15" applyNumberFormat="1" applyFont="1" applyBorder="1" applyAlignment="1">
      <alignment horizontal="left" vertical="center" wrapText="1"/>
    </xf>
    <xf numFmtId="3" fontId="96" fillId="0" borderId="2" xfId="15" applyNumberFormat="1" applyFont="1" applyFill="1" applyBorder="1" applyAlignment="1">
      <alignment horizontal="center" vertical="center" wrapText="1"/>
    </xf>
    <xf numFmtId="3" fontId="91" fillId="53" borderId="2" xfId="15" applyNumberFormat="1" applyFont="1" applyFill="1" applyBorder="1" applyAlignment="1">
      <alignment horizontal="center" vertical="center" wrapText="1"/>
    </xf>
    <xf numFmtId="3" fontId="91" fillId="0" borderId="2" xfId="15" applyNumberFormat="1" applyFont="1" applyFill="1" applyBorder="1" applyAlignment="1">
      <alignment horizontal="center" vertical="center" wrapText="1"/>
    </xf>
    <xf numFmtId="3" fontId="92" fillId="0" borderId="2" xfId="15" applyNumberFormat="1" applyFont="1" applyBorder="1" applyAlignment="1">
      <alignment horizontal="center" vertical="center" wrapText="1"/>
    </xf>
    <xf numFmtId="3" fontId="90" fillId="0" borderId="2" xfId="15" applyNumberFormat="1" applyFont="1" applyBorder="1" applyAlignment="1">
      <alignment horizontal="center" vertical="center" wrapText="1"/>
    </xf>
    <xf numFmtId="3" fontId="91" fillId="0" borderId="2" xfId="15" applyNumberFormat="1" applyFont="1" applyBorder="1" applyAlignment="1">
      <alignment horizontal="center" vertical="center" wrapText="1"/>
    </xf>
    <xf numFmtId="3" fontId="91" fillId="50" borderId="2" xfId="15" applyNumberFormat="1" applyFont="1" applyFill="1" applyBorder="1" applyAlignment="1">
      <alignment horizontal="center" vertical="center" wrapText="1"/>
    </xf>
    <xf numFmtId="3" fontId="17" fillId="53" borderId="0" xfId="14" applyNumberFormat="1" applyFont="1" applyFill="1" applyBorder="1" applyAlignment="1" applyProtection="1">
      <alignment horizontal="center" vertical="center"/>
      <protection locked="0"/>
    </xf>
    <xf numFmtId="0" fontId="74" fillId="0" borderId="2" xfId="0" applyFont="1" applyBorder="1"/>
    <xf numFmtId="164" fontId="17" fillId="8" borderId="2" xfId="14" applyNumberFormat="1" applyFont="1" applyFill="1" applyBorder="1" applyAlignment="1" applyProtection="1">
      <alignment horizontal="center" vertical="center"/>
      <protection locked="0"/>
    </xf>
    <xf numFmtId="0" fontId="77" fillId="0" borderId="2" xfId="0" applyNumberFormat="1" applyFont="1" applyBorder="1" applyAlignment="1" applyProtection="1">
      <alignment horizontal="center" vertical="center"/>
    </xf>
    <xf numFmtId="0" fontId="20" fillId="0" borderId="2" xfId="5" applyNumberFormat="1" applyFont="1" applyFill="1" applyBorder="1" applyAlignment="1" applyProtection="1">
      <alignment horizontal="center" vertical="center"/>
      <protection locked="0"/>
    </xf>
    <xf numFmtId="0" fontId="20" fillId="3" borderId="2" xfId="5" applyNumberFormat="1" applyFont="1" applyFill="1" applyBorder="1" applyAlignment="1" applyProtection="1">
      <alignment horizontal="center" vertical="center" wrapText="1"/>
    </xf>
    <xf numFmtId="0" fontId="20" fillId="4" borderId="2" xfId="5" applyNumberFormat="1" applyFont="1" applyFill="1" applyBorder="1" applyAlignment="1" applyProtection="1">
      <alignment horizontal="center" vertical="center" wrapText="1"/>
      <protection locked="0"/>
    </xf>
    <xf numFmtId="0" fontId="20" fillId="0" borderId="2" xfId="5" applyNumberFormat="1" applyFont="1" applyFill="1" applyBorder="1" applyAlignment="1" applyProtection="1">
      <alignment horizontal="center" vertical="center" wrapText="1"/>
      <protection locked="0"/>
    </xf>
    <xf numFmtId="0" fontId="38" fillId="0" borderId="2" xfId="5" applyNumberFormat="1" applyFont="1" applyFill="1" applyBorder="1" applyAlignment="1" applyProtection="1">
      <alignment horizontal="center" vertical="center"/>
      <protection locked="0"/>
    </xf>
    <xf numFmtId="0" fontId="38" fillId="53" borderId="2" xfId="5" applyNumberFormat="1" applyFont="1" applyFill="1" applyBorder="1" applyAlignment="1" applyProtection="1">
      <alignment horizontal="center" vertical="center"/>
      <protection locked="0"/>
    </xf>
    <xf numFmtId="0" fontId="20" fillId="2" borderId="2" xfId="5" applyNumberFormat="1" applyFont="1" applyFill="1" applyBorder="1" applyAlignment="1" applyProtection="1">
      <alignment horizontal="center" vertical="center" wrapText="1"/>
    </xf>
    <xf numFmtId="0" fontId="20" fillId="2" borderId="2" xfId="5" applyNumberFormat="1" applyFont="1" applyFill="1" applyBorder="1" applyAlignment="1" applyProtection="1">
      <alignment horizontal="center" vertical="center" wrapText="1"/>
      <protection locked="0"/>
    </xf>
    <xf numFmtId="164" fontId="18" fillId="0" borderId="2" xfId="0" applyNumberFormat="1" applyFont="1" applyFill="1" applyBorder="1" applyAlignment="1" applyProtection="1">
      <alignment horizontal="center" vertical="center"/>
    </xf>
    <xf numFmtId="0" fontId="74" fillId="0" borderId="0" xfId="0" applyFont="1" applyBorder="1"/>
    <xf numFmtId="0" fontId="74" fillId="0" borderId="0" xfId="0" applyFont="1" applyBorder="1" applyProtection="1"/>
    <xf numFmtId="164" fontId="78" fillId="2" borderId="0" xfId="5" applyNumberFormat="1" applyFont="1" applyFill="1" applyBorder="1" applyAlignment="1" applyProtection="1">
      <alignment horizontal="center" vertical="center" wrapText="1"/>
      <protection locked="0"/>
    </xf>
    <xf numFmtId="0" fontId="86" fillId="0" borderId="0" xfId="5" applyFont="1" applyAlignment="1" applyProtection="1">
      <alignment horizontal="center"/>
      <protection locked="0"/>
    </xf>
    <xf numFmtId="0" fontId="87" fillId="0" borderId="0" xfId="5" applyFont="1" applyBorder="1" applyAlignment="1" applyProtection="1">
      <alignment horizontal="center"/>
      <protection locked="0"/>
    </xf>
    <xf numFmtId="0" fontId="18" fillId="3" borderId="0" xfId="5" applyFont="1" applyFill="1" applyBorder="1" applyAlignment="1" applyProtection="1">
      <alignment horizontal="center" vertical="center" wrapText="1"/>
    </xf>
    <xf numFmtId="3" fontId="20" fillId="0" borderId="0" xfId="0" applyNumberFormat="1" applyFont="1" applyBorder="1" applyAlignment="1" applyProtection="1">
      <alignment horizontal="center" vertical="center"/>
      <protection locked="0"/>
    </xf>
    <xf numFmtId="3" fontId="18" fillId="3" borderId="0" xfId="5" applyNumberFormat="1" applyFont="1" applyFill="1" applyBorder="1" applyAlignment="1" applyProtection="1">
      <alignment horizontal="center" vertical="center" wrapText="1"/>
    </xf>
    <xf numFmtId="3" fontId="78" fillId="2" borderId="0" xfId="5" applyNumberFormat="1" applyFont="1" applyFill="1" applyBorder="1" applyAlignment="1" applyProtection="1">
      <alignment horizontal="center" vertical="center" wrapText="1"/>
    </xf>
    <xf numFmtId="3" fontId="84" fillId="0" borderId="0" xfId="5" applyNumberFormat="1" applyFont="1" applyFill="1" applyBorder="1" applyAlignment="1" applyProtection="1">
      <alignment horizontal="center" vertical="center"/>
      <protection locked="0"/>
    </xf>
    <xf numFmtId="3" fontId="17" fillId="53" borderId="0" xfId="5" applyNumberFormat="1" applyFont="1" applyFill="1" applyBorder="1" applyAlignment="1" applyProtection="1">
      <alignment horizontal="center" vertical="center"/>
      <protection locked="0"/>
    </xf>
    <xf numFmtId="3" fontId="17" fillId="0" borderId="0" xfId="0" applyNumberFormat="1" applyFont="1" applyFill="1" applyBorder="1" applyAlignment="1" applyProtection="1">
      <alignment horizontal="center" vertical="center"/>
      <protection locked="0"/>
    </xf>
    <xf numFmtId="3" fontId="18" fillId="0" borderId="0" xfId="5" applyNumberFormat="1" applyFont="1" applyFill="1" applyBorder="1" applyAlignment="1" applyProtection="1">
      <alignment horizontal="center" vertical="center" wrapText="1"/>
      <protection locked="0"/>
    </xf>
    <xf numFmtId="3" fontId="17" fillId="0" borderId="0" xfId="5" applyNumberFormat="1" applyFont="1" applyFill="1" applyBorder="1" applyAlignment="1" applyProtection="1">
      <alignment horizontal="center" vertical="center"/>
      <protection locked="0"/>
    </xf>
    <xf numFmtId="3" fontId="17" fillId="0" borderId="0" xfId="5" applyNumberFormat="1" applyFont="1" applyFill="1" applyBorder="1" applyAlignment="1" applyProtection="1">
      <alignment horizontal="center" vertical="center" wrapText="1"/>
    </xf>
    <xf numFmtId="3" fontId="17" fillId="53" borderId="0" xfId="5" applyNumberFormat="1" applyFont="1" applyFill="1" applyBorder="1" applyAlignment="1" applyProtection="1">
      <alignment horizontal="center" vertical="center" wrapText="1"/>
      <protection locked="0"/>
    </xf>
    <xf numFmtId="3" fontId="20" fillId="0" borderId="0" xfId="5" applyNumberFormat="1" applyFont="1" applyFill="1" applyBorder="1" applyAlignment="1" applyProtection="1">
      <alignment horizontal="center" vertical="center"/>
      <protection locked="0"/>
    </xf>
    <xf numFmtId="3" fontId="18" fillId="54" borderId="0" xfId="5" applyNumberFormat="1" applyFont="1" applyFill="1" applyBorder="1" applyAlignment="1" applyProtection="1">
      <alignment horizontal="center" vertical="center" wrapText="1"/>
      <protection locked="0"/>
    </xf>
    <xf numFmtId="3" fontId="17" fillId="54" borderId="0" xfId="5" applyNumberFormat="1" applyFont="1" applyFill="1" applyBorder="1" applyAlignment="1" applyProtection="1">
      <alignment horizontal="center" vertical="center"/>
      <protection locked="0"/>
    </xf>
    <xf numFmtId="3" fontId="78" fillId="2" borderId="0" xfId="5" applyNumberFormat="1" applyFont="1" applyFill="1" applyBorder="1" applyAlignment="1" applyProtection="1">
      <alignment horizontal="center" vertical="center" wrapText="1"/>
      <protection locked="0"/>
    </xf>
    <xf numFmtId="3" fontId="99" fillId="0" borderId="0" xfId="5" applyNumberFormat="1" applyFont="1" applyFill="1" applyBorder="1" applyAlignment="1" applyProtection="1">
      <alignment horizontal="center" vertical="center"/>
      <protection locked="0"/>
    </xf>
    <xf numFmtId="3" fontId="17" fillId="53" borderId="2" xfId="14" applyNumberFormat="1" applyFont="1" applyFill="1" applyBorder="1" applyAlignment="1" applyProtection="1">
      <alignment horizontal="center" vertical="center"/>
      <protection locked="0"/>
    </xf>
    <xf numFmtId="3" fontId="17" fillId="54" borderId="2" xfId="5" applyNumberFormat="1" applyFont="1" applyFill="1" applyBorder="1" applyAlignment="1" applyProtection="1">
      <alignment horizontal="center" vertical="center"/>
      <protection locked="0"/>
    </xf>
    <xf numFmtId="10" fontId="102" fillId="0" borderId="0" xfId="0" applyNumberFormat="1" applyFont="1" applyAlignment="1">
      <alignment horizontal="left"/>
    </xf>
    <xf numFmtId="164" fontId="104" fillId="0" borderId="2" xfId="0" applyNumberFormat="1" applyFont="1" applyBorder="1" applyAlignment="1" applyProtection="1">
      <alignment horizontal="left" vertical="center"/>
    </xf>
    <xf numFmtId="3" fontId="103" fillId="3" borderId="2" xfId="5" applyNumberFormat="1" applyFont="1" applyFill="1" applyBorder="1" applyAlignment="1" applyProtection="1">
      <alignment horizontal="left" vertical="center" wrapText="1"/>
    </xf>
    <xf numFmtId="164" fontId="105" fillId="53" borderId="2" xfId="5" applyNumberFormat="1" applyFont="1" applyFill="1" applyBorder="1" applyAlignment="1" applyProtection="1">
      <alignment horizontal="left" vertical="center" wrapText="1"/>
      <protection locked="0"/>
    </xf>
    <xf numFmtId="164" fontId="103" fillId="0" borderId="2" xfId="5" applyNumberFormat="1" applyFont="1" applyFill="1" applyBorder="1" applyAlignment="1" applyProtection="1">
      <alignment horizontal="left" vertical="center"/>
      <protection locked="0"/>
    </xf>
    <xf numFmtId="0" fontId="102" fillId="0" borderId="0" xfId="0" applyFont="1" applyAlignment="1">
      <alignment horizontal="left"/>
    </xf>
    <xf numFmtId="0" fontId="87" fillId="0" borderId="0" xfId="5" applyFont="1" applyBorder="1" applyAlignment="1" applyProtection="1">
      <alignment horizontal="center"/>
      <protection locked="0"/>
    </xf>
    <xf numFmtId="10" fontId="74" fillId="0" borderId="0" xfId="14" applyNumberFormat="1" applyFont="1"/>
    <xf numFmtId="0" fontId="17" fillId="0" borderId="0" xfId="5" applyFont="1" applyFill="1" applyBorder="1" applyAlignment="1" applyProtection="1">
      <alignment horizontal="left" vertical="center" wrapText="1"/>
      <protection locked="0"/>
    </xf>
    <xf numFmtId="0" fontId="17" fillId="0" borderId="0" xfId="5" applyFont="1" applyFill="1" applyBorder="1" applyAlignment="1" applyProtection="1">
      <alignment horizontal="center" vertical="center" wrapText="1"/>
      <protection locked="0"/>
    </xf>
    <xf numFmtId="3" fontId="17" fillId="0" borderId="0" xfId="13" applyNumberFormat="1" applyFont="1" applyFill="1" applyBorder="1" applyAlignment="1">
      <alignment horizontal="center" vertical="center"/>
    </xf>
    <xf numFmtId="3" fontId="17" fillId="0" borderId="0" xfId="5" applyNumberFormat="1" applyFont="1" applyFill="1" applyBorder="1" applyAlignment="1" applyProtection="1">
      <alignment horizontal="center" vertical="center" wrapText="1"/>
      <protection locked="0"/>
    </xf>
    <xf numFmtId="164" fontId="17" fillId="0" borderId="0" xfId="14" applyNumberFormat="1" applyFont="1" applyFill="1" applyBorder="1" applyAlignment="1" applyProtection="1">
      <alignment horizontal="center" vertical="center"/>
      <protection locked="0"/>
    </xf>
    <xf numFmtId="164" fontId="38" fillId="0" borderId="0" xfId="14" applyNumberFormat="1" applyFont="1" applyBorder="1" applyAlignment="1" applyProtection="1">
      <alignment horizontal="center" vertical="center"/>
      <protection locked="0"/>
    </xf>
    <xf numFmtId="164" fontId="17" fillId="0" borderId="0" xfId="5" applyNumberFormat="1" applyFont="1" applyFill="1" applyBorder="1" applyAlignment="1" applyProtection="1">
      <alignment horizontal="center" vertical="center" wrapText="1"/>
    </xf>
    <xf numFmtId="167" fontId="17" fillId="0" borderId="0" xfId="5" applyNumberFormat="1" applyFont="1" applyFill="1" applyBorder="1" applyAlignment="1" applyProtection="1">
      <alignment horizontal="center" vertical="center" wrapText="1"/>
      <protection locked="0"/>
    </xf>
    <xf numFmtId="3" fontId="17" fillId="0" borderId="0" xfId="0" applyNumberFormat="1" applyFont="1" applyFill="1" applyBorder="1" applyAlignment="1" applyProtection="1">
      <alignment horizontal="center" vertical="center"/>
    </xf>
    <xf numFmtId="164" fontId="89" fillId="0" borderId="0" xfId="14" applyNumberFormat="1" applyFont="1" applyBorder="1" applyAlignment="1">
      <alignment horizontal="center" vertical="center"/>
    </xf>
    <xf numFmtId="3" fontId="80" fillId="0" borderId="0" xfId="0" applyNumberFormat="1" applyFont="1" applyBorder="1" applyAlignment="1" applyProtection="1">
      <alignment horizontal="center" vertical="center"/>
    </xf>
    <xf numFmtId="164" fontId="80" fillId="0" borderId="0" xfId="0" applyNumberFormat="1" applyFont="1" applyBorder="1" applyAlignment="1" applyProtection="1">
      <alignment horizontal="center" vertical="center"/>
    </xf>
    <xf numFmtId="0" fontId="90" fillId="0" borderId="0" xfId="15" applyFont="1" applyBorder="1" applyAlignment="1">
      <alignment horizontal="left" vertical="center" wrapText="1"/>
    </xf>
    <xf numFmtId="3" fontId="90" fillId="0" borderId="0" xfId="15" applyNumberFormat="1" applyFont="1" applyBorder="1" applyAlignment="1">
      <alignment horizontal="center" vertical="center" wrapText="1"/>
    </xf>
    <xf numFmtId="0" fontId="38" fillId="0" borderId="0" xfId="5" applyNumberFormat="1" applyFont="1" applyFill="1" applyBorder="1" applyAlignment="1" applyProtection="1">
      <alignment horizontal="center" vertical="center"/>
      <protection locked="0"/>
    </xf>
    <xf numFmtId="164" fontId="17" fillId="0" borderId="0" xfId="5" applyNumberFormat="1" applyFont="1" applyFill="1" applyBorder="1" applyAlignment="1" applyProtection="1">
      <alignment horizontal="center" vertical="center"/>
      <protection locked="0"/>
    </xf>
    <xf numFmtId="164" fontId="18" fillId="8" borderId="2" xfId="14" applyNumberFormat="1" applyFont="1" applyFill="1" applyBorder="1" applyAlignment="1" applyProtection="1">
      <alignment horizontal="center" vertical="center" wrapText="1"/>
      <protection locked="0"/>
    </xf>
    <xf numFmtId="164" fontId="90" fillId="8" borderId="2" xfId="5" applyNumberFormat="1" applyFont="1" applyFill="1" applyBorder="1" applyAlignment="1" applyProtection="1">
      <alignment horizontal="left" vertical="center" wrapText="1"/>
      <protection locked="0"/>
    </xf>
    <xf numFmtId="0" fontId="87" fillId="0" borderId="0" xfId="5" applyFont="1" applyBorder="1" applyAlignment="1" applyProtection="1">
      <alignment horizontal="center"/>
      <protection locked="0"/>
    </xf>
    <xf numFmtId="0" fontId="87" fillId="53" borderId="15" xfId="5" applyFont="1" applyFill="1" applyBorder="1" applyAlignment="1" applyProtection="1">
      <alignment horizontal="center"/>
      <protection locked="0"/>
    </xf>
    <xf numFmtId="0" fontId="86" fillId="0" borderId="0" xfId="5" applyFont="1" applyAlignment="1" applyProtection="1">
      <alignment horizontal="center"/>
      <protection locked="0"/>
    </xf>
    <xf numFmtId="0" fontId="87" fillId="53" borderId="16" xfId="5" applyFont="1" applyFill="1" applyBorder="1" applyAlignment="1" applyProtection="1">
      <protection locked="0"/>
    </xf>
    <xf numFmtId="0" fontId="87" fillId="53" borderId="15" xfId="5" applyFont="1" applyFill="1" applyBorder="1" applyAlignment="1" applyProtection="1">
      <protection locked="0"/>
    </xf>
    <xf numFmtId="0" fontId="87" fillId="53" borderId="17" xfId="5" applyFont="1" applyFill="1" applyBorder="1" applyAlignment="1" applyProtection="1">
      <protection locked="0"/>
    </xf>
    <xf numFmtId="0" fontId="86" fillId="0" borderId="0" xfId="5" applyFont="1" applyAlignment="1" applyProtection="1">
      <protection locked="0"/>
    </xf>
    <xf numFmtId="0" fontId="101" fillId="0" borderId="0" xfId="5" applyFont="1" applyAlignment="1" applyProtection="1">
      <protection locked="0"/>
    </xf>
    <xf numFmtId="0" fontId="87" fillId="0" borderId="0" xfId="5" applyFont="1" applyBorder="1" applyAlignment="1" applyProtection="1">
      <protection locked="0"/>
    </xf>
    <xf numFmtId="164" fontId="84" fillId="0" borderId="2" xfId="5" applyNumberFormat="1" applyFont="1" applyFill="1" applyBorder="1" applyAlignment="1" applyProtection="1">
      <alignment horizontal="center" vertical="center" wrapText="1"/>
      <protection locked="0"/>
    </xf>
    <xf numFmtId="164" fontId="105" fillId="0" borderId="2" xfId="5" applyNumberFormat="1" applyFont="1" applyFill="1" applyBorder="1" applyAlignment="1" applyProtection="1">
      <alignment horizontal="left" vertical="center" wrapText="1"/>
      <protection locked="0"/>
    </xf>
    <xf numFmtId="3" fontId="95" fillId="53" borderId="2" xfId="15" applyNumberFormat="1" applyFont="1" applyFill="1" applyBorder="1" applyAlignment="1">
      <alignment horizontal="justify" vertical="top" wrapText="1"/>
    </xf>
    <xf numFmtId="3" fontId="95" fillId="53" borderId="2" xfId="15" applyNumberFormat="1" applyFont="1" applyFill="1" applyBorder="1" applyAlignment="1">
      <alignment horizontal="center" vertical="center" wrapText="1"/>
    </xf>
    <xf numFmtId="164" fontId="38" fillId="0" borderId="2" xfId="5" applyNumberFormat="1" applyFont="1" applyFill="1" applyBorder="1" applyAlignment="1" applyProtection="1">
      <alignment horizontal="center" vertical="center" wrapText="1"/>
      <protection locked="0"/>
    </xf>
    <xf numFmtId="164" fontId="99" fillId="0" borderId="2" xfId="5" applyNumberFormat="1" applyFont="1" applyFill="1" applyBorder="1" applyAlignment="1" applyProtection="1">
      <alignment horizontal="center" vertical="center"/>
      <protection locked="0"/>
    </xf>
    <xf numFmtId="164" fontId="99" fillId="4" borderId="2" xfId="5" applyNumberFormat="1" applyFont="1" applyFill="1" applyBorder="1" applyAlignment="1" applyProtection="1">
      <alignment horizontal="center" vertical="center"/>
      <protection locked="0"/>
    </xf>
    <xf numFmtId="164" fontId="83" fillId="0" borderId="2" xfId="5" applyNumberFormat="1" applyFont="1" applyFill="1" applyBorder="1" applyAlignment="1" applyProtection="1">
      <alignment horizontal="center" vertical="center" wrapText="1"/>
      <protection locked="0"/>
    </xf>
    <xf numFmtId="164" fontId="83" fillId="53" borderId="2" xfId="5" applyNumberFormat="1" applyFont="1" applyFill="1" applyBorder="1" applyAlignment="1" applyProtection="1">
      <alignment horizontal="center" vertical="center" wrapText="1"/>
      <protection locked="0"/>
    </xf>
    <xf numFmtId="164" fontId="99" fillId="4" borderId="0" xfId="5" applyNumberFormat="1" applyFont="1" applyFill="1" applyBorder="1" applyAlignment="1" applyProtection="1">
      <alignment horizontal="center" vertical="center"/>
      <protection locked="0"/>
    </xf>
    <xf numFmtId="3" fontId="99" fillId="4" borderId="2" xfId="5" applyNumberFormat="1" applyFont="1" applyFill="1" applyBorder="1" applyAlignment="1" applyProtection="1">
      <alignment horizontal="center" vertical="center"/>
      <protection locked="0"/>
    </xf>
    <xf numFmtId="3" fontId="106" fillId="4" borderId="2" xfId="5" applyNumberFormat="1" applyFont="1" applyFill="1" applyBorder="1" applyAlignment="1" applyProtection="1">
      <alignment horizontal="center" vertical="center"/>
      <protection locked="0"/>
    </xf>
    <xf numFmtId="3" fontId="106" fillId="0" borderId="2" xfId="5" applyNumberFormat="1" applyFont="1" applyFill="1" applyBorder="1" applyAlignment="1" applyProtection="1">
      <alignment horizontal="center" vertical="center"/>
      <protection locked="0"/>
    </xf>
    <xf numFmtId="0" fontId="87" fillId="0" borderId="0" xfId="5" applyFont="1" applyFill="1" applyBorder="1" applyAlignment="1" applyProtection="1">
      <protection locked="0"/>
    </xf>
    <xf numFmtId="0" fontId="107" fillId="0" borderId="0" xfId="5" applyFont="1" applyAlignment="1" applyProtection="1">
      <alignment horizontal="center"/>
      <protection locked="0"/>
    </xf>
    <xf numFmtId="0" fontId="108" fillId="0" borderId="0" xfId="5" applyFont="1" applyBorder="1" applyAlignment="1" applyProtection="1">
      <alignment horizontal="center"/>
      <protection locked="0"/>
    </xf>
    <xf numFmtId="0" fontId="95" fillId="53" borderId="2" xfId="0" applyFont="1" applyFill="1" applyBorder="1" applyAlignment="1">
      <alignment horizontal="center" vertical="center" wrapText="1"/>
    </xf>
    <xf numFmtId="3" fontId="95" fillId="53" borderId="2" xfId="0" applyNumberFormat="1" applyFont="1" applyFill="1" applyBorder="1" applyAlignment="1">
      <alignment horizontal="center" vertical="center" wrapText="1"/>
    </xf>
    <xf numFmtId="164" fontId="105" fillId="53" borderId="2" xfId="5" applyNumberFormat="1" applyFont="1" applyFill="1" applyBorder="1" applyAlignment="1" applyProtection="1">
      <alignment horizontal="center" vertical="center" wrapText="1"/>
      <protection locked="0"/>
    </xf>
    <xf numFmtId="3" fontId="80" fillId="53" borderId="2" xfId="0" applyNumberFormat="1" applyFont="1" applyFill="1" applyBorder="1" applyAlignment="1">
      <alignment horizontal="center" vertical="center" wrapText="1"/>
    </xf>
    <xf numFmtId="0" fontId="80" fillId="53" borderId="2" xfId="0" applyFont="1" applyFill="1" applyBorder="1" applyAlignment="1">
      <alignment horizontal="center" vertical="center" wrapText="1"/>
    </xf>
    <xf numFmtId="0" fontId="74" fillId="0" borderId="2" xfId="0" applyFont="1" applyFill="1" applyBorder="1" applyProtection="1"/>
    <xf numFmtId="3" fontId="98" fillId="53" borderId="2" xfId="15" applyNumberFormat="1" applyFont="1" applyFill="1" applyBorder="1" applyAlignment="1">
      <alignment horizontal="left" vertical="center" wrapText="1"/>
    </xf>
    <xf numFmtId="3" fontId="98" fillId="53" borderId="2" xfId="15" applyNumberFormat="1" applyFont="1" applyFill="1" applyBorder="1" applyAlignment="1">
      <alignment horizontal="center" vertical="center" wrapText="1"/>
    </xf>
    <xf numFmtId="3" fontId="83" fillId="53" borderId="2" xfId="5" applyNumberFormat="1" applyFont="1" applyFill="1" applyBorder="1" applyAlignment="1" applyProtection="1">
      <alignment horizontal="center" vertical="center" wrapText="1"/>
      <protection locked="0"/>
    </xf>
    <xf numFmtId="164" fontId="20" fillId="53" borderId="2" xfId="14" applyNumberFormat="1" applyFont="1" applyFill="1" applyBorder="1" applyAlignment="1" applyProtection="1">
      <alignment horizontal="center" vertical="center"/>
      <protection locked="0"/>
    </xf>
    <xf numFmtId="164" fontId="105" fillId="53" borderId="2" xfId="5" applyNumberFormat="1" applyFont="1" applyFill="1" applyBorder="1" applyAlignment="1" applyProtection="1">
      <alignment horizontal="justify" vertical="center" wrapText="1"/>
      <protection locked="0"/>
    </xf>
    <xf numFmtId="0" fontId="17" fillId="8" borderId="2" xfId="5" applyFont="1" applyFill="1" applyBorder="1" applyAlignment="1" applyProtection="1">
      <alignment horizontal="left" vertical="center" wrapText="1"/>
    </xf>
    <xf numFmtId="0" fontId="17" fillId="8" borderId="2" xfId="5" applyFont="1" applyFill="1" applyBorder="1" applyAlignment="1" applyProtection="1">
      <alignment horizontal="center" vertical="center" wrapText="1"/>
    </xf>
    <xf numFmtId="164" fontId="38" fillId="8" borderId="2" xfId="14" applyNumberFormat="1" applyFont="1" applyFill="1" applyBorder="1" applyAlignment="1" applyProtection="1">
      <alignment horizontal="center" vertical="center"/>
      <protection locked="0"/>
    </xf>
    <xf numFmtId="164" fontId="17" fillId="8" borderId="2" xfId="5" applyNumberFormat="1" applyFont="1" applyFill="1" applyBorder="1" applyAlignment="1" applyProtection="1">
      <alignment horizontal="center" vertical="center" wrapText="1"/>
    </xf>
    <xf numFmtId="3" fontId="17" fillId="8" borderId="2" xfId="0" applyNumberFormat="1" applyFont="1" applyFill="1" applyBorder="1" applyAlignment="1" applyProtection="1">
      <alignment horizontal="center" vertical="center"/>
    </xf>
    <xf numFmtId="164" fontId="17" fillId="8" borderId="2" xfId="14" applyNumberFormat="1" applyFont="1" applyFill="1" applyBorder="1" applyAlignment="1" applyProtection="1">
      <alignment horizontal="center" vertical="center"/>
    </xf>
    <xf numFmtId="164" fontId="17" fillId="8" borderId="2" xfId="14" applyNumberFormat="1" applyFont="1" applyFill="1" applyBorder="1" applyAlignment="1" applyProtection="1">
      <alignment horizontal="center" vertical="center" wrapText="1"/>
    </xf>
    <xf numFmtId="3" fontId="80" fillId="8" borderId="2" xfId="0" applyNumberFormat="1" applyFont="1" applyFill="1" applyBorder="1" applyAlignment="1" applyProtection="1">
      <alignment horizontal="center" vertical="center"/>
    </xf>
    <xf numFmtId="164" fontId="80" fillId="8" borderId="2" xfId="0" applyNumberFormat="1" applyFont="1" applyFill="1" applyBorder="1" applyAlignment="1" applyProtection="1">
      <alignment horizontal="center" vertical="center"/>
    </xf>
    <xf numFmtId="164" fontId="17" fillId="8" borderId="2" xfId="5" applyNumberFormat="1" applyFont="1" applyFill="1" applyBorder="1" applyAlignment="1" applyProtection="1">
      <alignment horizontal="center" vertical="center"/>
      <protection locked="0"/>
    </xf>
    <xf numFmtId="0" fontId="38" fillId="8" borderId="2" xfId="5" applyNumberFormat="1" applyFont="1" applyFill="1" applyBorder="1" applyAlignment="1" applyProtection="1">
      <alignment horizontal="center" vertical="center"/>
      <protection locked="0"/>
    </xf>
    <xf numFmtId="164" fontId="17" fillId="8" borderId="2" xfId="14" applyNumberFormat="1" applyFont="1" applyFill="1" applyBorder="1" applyAlignment="1" applyProtection="1">
      <alignment horizontal="center" vertical="center" wrapText="1"/>
      <protection locked="0"/>
    </xf>
    <xf numFmtId="164" fontId="17" fillId="0" borderId="2" xfId="14" applyNumberFormat="1" applyFont="1" applyFill="1" applyBorder="1" applyAlignment="1" applyProtection="1">
      <alignment horizontal="center" vertical="center" wrapText="1"/>
      <protection locked="0"/>
    </xf>
    <xf numFmtId="9" fontId="17" fillId="0" borderId="2" xfId="14" applyFont="1" applyFill="1" applyBorder="1" applyAlignment="1" applyProtection="1">
      <alignment horizontal="center" vertical="center" wrapText="1"/>
      <protection locked="0"/>
    </xf>
    <xf numFmtId="3" fontId="105" fillId="0" borderId="2" xfId="5" applyNumberFormat="1" applyFont="1" applyFill="1" applyBorder="1" applyAlignment="1" applyProtection="1">
      <alignment horizontal="center" vertical="center" wrapText="1"/>
      <protection locked="0"/>
    </xf>
    <xf numFmtId="164" fontId="105" fillId="0" borderId="2" xfId="5" applyNumberFormat="1" applyFont="1" applyFill="1" applyBorder="1" applyAlignment="1" applyProtection="1">
      <alignment horizontal="center" vertical="center" wrapText="1"/>
      <protection locked="0"/>
    </xf>
    <xf numFmtId="164" fontId="38" fillId="53" borderId="2" xfId="5" applyNumberFormat="1" applyFont="1" applyFill="1" applyBorder="1" applyAlignment="1" applyProtection="1">
      <alignment horizontal="center" vertical="center" wrapText="1"/>
      <protection locked="0"/>
    </xf>
    <xf numFmtId="0" fontId="17" fillId="53" borderId="2" xfId="5" applyFont="1" applyFill="1" applyBorder="1" applyAlignment="1" applyProtection="1">
      <alignment horizontal="left" vertical="center" wrapText="1"/>
      <protection locked="0"/>
    </xf>
    <xf numFmtId="3" fontId="78" fillId="2" borderId="2" xfId="5" applyNumberFormat="1" applyFont="1" applyFill="1" applyBorder="1" applyAlignment="1" applyProtection="1">
      <alignment horizontal="center" vertical="center" wrapText="1"/>
      <protection locked="0"/>
    </xf>
    <xf numFmtId="3" fontId="18" fillId="0" borderId="2" xfId="5" applyNumberFormat="1" applyFont="1" applyFill="1" applyBorder="1" applyAlignment="1" applyProtection="1">
      <alignment horizontal="center" vertical="center" wrapText="1"/>
      <protection locked="0"/>
    </xf>
    <xf numFmtId="3" fontId="17" fillId="0" borderId="2" xfId="5" applyNumberFormat="1" applyFont="1" applyFill="1" applyBorder="1" applyAlignment="1" applyProtection="1">
      <alignment horizontal="center" vertical="center"/>
      <protection locked="0"/>
    </xf>
    <xf numFmtId="3" fontId="17" fillId="53" borderId="2" xfId="5" applyNumberFormat="1" applyFont="1" applyFill="1" applyBorder="1" applyAlignment="1" applyProtection="1">
      <alignment horizontal="center" vertical="center"/>
      <protection locked="0"/>
    </xf>
    <xf numFmtId="3" fontId="74" fillId="0" borderId="2" xfId="0" applyNumberFormat="1" applyFont="1" applyBorder="1"/>
    <xf numFmtId="3" fontId="85" fillId="0" borderId="2" xfId="0" applyNumberFormat="1" applyFont="1" applyBorder="1"/>
    <xf numFmtId="9" fontId="17" fillId="53" borderId="2" xfId="14" applyFont="1" applyFill="1" applyBorder="1" applyAlignment="1" applyProtection="1">
      <alignment horizontal="center" vertical="center" wrapText="1"/>
      <protection locked="0"/>
    </xf>
    <xf numFmtId="0" fontId="38" fillId="53" borderId="2" xfId="5" applyFont="1" applyFill="1" applyBorder="1" applyAlignment="1" applyProtection="1">
      <alignment horizontal="center" vertical="center" wrapText="1"/>
      <protection locked="0"/>
    </xf>
    <xf numFmtId="0" fontId="80" fillId="53" borderId="2" xfId="0" applyFont="1" applyFill="1" applyBorder="1" applyAlignment="1">
      <alignment horizontal="left" vertical="center" wrapText="1"/>
    </xf>
    <xf numFmtId="0" fontId="38" fillId="53" borderId="2" xfId="0" applyFont="1" applyFill="1" applyBorder="1" applyAlignment="1">
      <alignment horizontal="center" wrapText="1"/>
    </xf>
    <xf numFmtId="0" fontId="96" fillId="0" borderId="2" xfId="6" applyFont="1" applyFill="1" applyBorder="1" applyAlignment="1">
      <alignment horizontal="left" vertical="top" wrapText="1"/>
    </xf>
    <xf numFmtId="3" fontId="96" fillId="0" borderId="2" xfId="6" applyNumberFormat="1" applyFont="1" applyFill="1" applyBorder="1" applyAlignment="1">
      <alignment horizontal="center" vertical="center" wrapText="1"/>
    </xf>
    <xf numFmtId="0" fontId="18" fillId="3" borderId="20" xfId="5" applyFont="1" applyFill="1" applyBorder="1" applyAlignment="1" applyProtection="1">
      <alignment horizontal="left" vertical="center" wrapText="1"/>
    </xf>
    <xf numFmtId="0" fontId="18" fillId="3" borderId="21" xfId="5" applyFont="1" applyFill="1" applyBorder="1" applyAlignment="1" applyProtection="1">
      <alignment horizontal="left" vertical="center" wrapText="1"/>
    </xf>
    <xf numFmtId="0" fontId="18" fillId="3" borderId="21" xfId="5" applyFont="1" applyFill="1" applyBorder="1" applyAlignment="1" applyProtection="1">
      <alignment horizontal="center" vertical="center" wrapText="1"/>
    </xf>
    <xf numFmtId="3" fontId="18" fillId="3" borderId="21" xfId="5" applyNumberFormat="1" applyFont="1" applyFill="1" applyBorder="1" applyAlignment="1" applyProtection="1">
      <alignment horizontal="center" vertical="center" wrapText="1"/>
    </xf>
    <xf numFmtId="3" fontId="20" fillId="3" borderId="21" xfId="5" applyNumberFormat="1" applyFont="1" applyFill="1" applyBorder="1" applyAlignment="1" applyProtection="1">
      <alignment horizontal="center" vertical="center" wrapText="1"/>
    </xf>
    <xf numFmtId="0" fontId="20" fillId="3" borderId="21" xfId="5" applyFont="1" applyFill="1" applyBorder="1" applyAlignment="1" applyProtection="1">
      <alignment horizontal="center" vertical="center" wrapText="1"/>
    </xf>
    <xf numFmtId="0" fontId="20" fillId="52" borderId="21" xfId="5" applyFont="1" applyFill="1" applyBorder="1" applyAlignment="1" applyProtection="1">
      <alignment horizontal="center" vertical="center" wrapText="1"/>
    </xf>
    <xf numFmtId="3" fontId="20" fillId="52" borderId="21" xfId="5" applyNumberFormat="1" applyFont="1" applyFill="1" applyBorder="1" applyAlignment="1" applyProtection="1">
      <alignment horizontal="center" vertical="center" wrapText="1"/>
    </xf>
    <xf numFmtId="0" fontId="18" fillId="3" borderId="23" xfId="5" applyFont="1" applyFill="1" applyBorder="1" applyAlignment="1" applyProtection="1">
      <alignment horizontal="center" vertical="center" wrapText="1"/>
    </xf>
    <xf numFmtId="0" fontId="74" fillId="0" borderId="23" xfId="0" applyFont="1" applyBorder="1" applyProtection="1"/>
    <xf numFmtId="3" fontId="20" fillId="0" borderId="24" xfId="0" applyNumberFormat="1" applyFont="1" applyBorder="1" applyAlignment="1" applyProtection="1">
      <alignment horizontal="center" vertical="center"/>
      <protection locked="0"/>
    </xf>
    <xf numFmtId="0" fontId="18" fillId="3" borderId="23" xfId="5" applyFont="1" applyFill="1" applyBorder="1" applyAlignment="1" applyProtection="1">
      <alignment horizontal="left" vertical="center" wrapText="1"/>
    </xf>
    <xf numFmtId="3" fontId="18" fillId="3" borderId="24" xfId="5" applyNumberFormat="1" applyFont="1" applyFill="1" applyBorder="1" applyAlignment="1" applyProtection="1">
      <alignment horizontal="center" vertical="center" wrapText="1"/>
    </xf>
    <xf numFmtId="0" fontId="78" fillId="2" borderId="23" xfId="5" applyFont="1" applyFill="1" applyBorder="1" applyAlignment="1" applyProtection="1">
      <alignment horizontal="left" vertical="center" wrapText="1"/>
    </xf>
    <xf numFmtId="3" fontId="78" fillId="2" borderId="24" xfId="5" applyNumberFormat="1" applyFont="1" applyFill="1" applyBorder="1" applyAlignment="1" applyProtection="1">
      <alignment horizontal="center" vertical="center" wrapText="1"/>
    </xf>
    <xf numFmtId="0" fontId="18" fillId="0" borderId="23" xfId="5" applyFont="1" applyFill="1" applyBorder="1" applyAlignment="1" applyProtection="1">
      <alignment horizontal="left" vertical="center" wrapText="1"/>
    </xf>
    <xf numFmtId="3" fontId="18" fillId="0" borderId="24" xfId="5" applyNumberFormat="1" applyFont="1" applyFill="1" applyBorder="1" applyAlignment="1" applyProtection="1">
      <alignment horizontal="center" vertical="center" wrapText="1"/>
    </xf>
    <xf numFmtId="0" fontId="17" fillId="0" borderId="23" xfId="5" applyFont="1" applyFill="1" applyBorder="1" applyAlignment="1" applyProtection="1">
      <alignment horizontal="left" vertical="center" wrapText="1"/>
      <protection locked="0"/>
    </xf>
    <xf numFmtId="3" fontId="84" fillId="0" borderId="24" xfId="5" applyNumberFormat="1" applyFont="1" applyFill="1" applyBorder="1" applyAlignment="1" applyProtection="1">
      <alignment horizontal="center" vertical="center"/>
      <protection locked="0"/>
    </xf>
    <xf numFmtId="0" fontId="17" fillId="53" borderId="23" xfId="5" applyFont="1" applyFill="1" applyBorder="1" applyAlignment="1" applyProtection="1">
      <alignment horizontal="left" vertical="center" wrapText="1"/>
      <protection locked="0"/>
    </xf>
    <xf numFmtId="3" fontId="17" fillId="53" borderId="24" xfId="5" applyNumberFormat="1" applyFont="1" applyFill="1" applyBorder="1" applyAlignment="1" applyProtection="1">
      <alignment horizontal="center" vertical="center"/>
      <protection locked="0"/>
    </xf>
    <xf numFmtId="3" fontId="17" fillId="0" borderId="24" xfId="0" applyNumberFormat="1" applyFont="1" applyFill="1" applyBorder="1" applyAlignment="1" applyProtection="1">
      <alignment horizontal="center" vertical="center"/>
      <protection locked="0"/>
    </xf>
    <xf numFmtId="3" fontId="18" fillId="0" borderId="24" xfId="5" applyNumberFormat="1" applyFont="1" applyFill="1" applyBorder="1" applyAlignment="1" applyProtection="1">
      <alignment horizontal="center" vertical="center" wrapText="1"/>
      <protection locked="0"/>
    </xf>
    <xf numFmtId="0" fontId="17" fillId="0" borderId="23" xfId="5" applyFont="1" applyFill="1" applyBorder="1" applyAlignment="1" applyProtection="1">
      <alignment horizontal="left" vertical="center" wrapText="1"/>
    </xf>
    <xf numFmtId="3" fontId="17" fillId="0" borderId="24" xfId="5" applyNumberFormat="1" applyFont="1" applyFill="1" applyBorder="1" applyAlignment="1" applyProtection="1">
      <alignment horizontal="center" vertical="center"/>
      <protection locked="0"/>
    </xf>
    <xf numFmtId="3" fontId="17" fillId="0" borderId="24" xfId="5" applyNumberFormat="1" applyFont="1" applyFill="1" applyBorder="1" applyAlignment="1" applyProtection="1">
      <alignment horizontal="center" vertical="center" wrapText="1"/>
    </xf>
    <xf numFmtId="3" fontId="17" fillId="53" borderId="24" xfId="14" applyNumberFormat="1" applyFont="1" applyFill="1" applyBorder="1" applyAlignment="1" applyProtection="1">
      <alignment horizontal="center" vertical="center"/>
      <protection locked="0"/>
    </xf>
    <xf numFmtId="3" fontId="17" fillId="0" borderId="24" xfId="5" applyNumberFormat="1" applyFont="1" applyFill="1" applyBorder="1" applyAlignment="1" applyProtection="1">
      <alignment horizontal="center" vertical="center" wrapText="1"/>
      <protection locked="0"/>
    </xf>
    <xf numFmtId="0" fontId="83" fillId="0" borderId="23" xfId="5" applyFont="1" applyFill="1" applyBorder="1" applyAlignment="1" applyProtection="1">
      <alignment horizontal="left" vertical="center" wrapText="1"/>
      <protection locked="0"/>
    </xf>
    <xf numFmtId="168" fontId="17" fillId="53" borderId="24" xfId="14" applyNumberFormat="1" applyFont="1" applyFill="1" applyBorder="1" applyAlignment="1" applyProtection="1">
      <alignment horizontal="center" vertical="center"/>
      <protection locked="0"/>
    </xf>
    <xf numFmtId="3" fontId="20" fillId="0" borderId="24" xfId="5" applyNumberFormat="1" applyFont="1" applyFill="1" applyBorder="1" applyAlignment="1" applyProtection="1">
      <alignment horizontal="center" vertical="center"/>
      <protection locked="0"/>
    </xf>
    <xf numFmtId="3" fontId="38" fillId="53" borderId="24" xfId="5" applyNumberFormat="1" applyFont="1" applyFill="1" applyBorder="1" applyAlignment="1" applyProtection="1">
      <alignment horizontal="center" vertical="center"/>
      <protection locked="0"/>
    </xf>
    <xf numFmtId="3" fontId="18" fillId="8" borderId="24" xfId="5" applyNumberFormat="1" applyFont="1" applyFill="1" applyBorder="1" applyAlignment="1" applyProtection="1">
      <alignment horizontal="center" vertical="center" wrapText="1"/>
      <protection locked="0"/>
    </xf>
    <xf numFmtId="169" fontId="17" fillId="53" borderId="24" xfId="5" applyNumberFormat="1" applyFont="1" applyFill="1" applyBorder="1" applyAlignment="1" applyProtection="1">
      <alignment horizontal="center" vertical="center"/>
      <protection locked="0"/>
    </xf>
    <xf numFmtId="0" fontId="17" fillId="8" borderId="23" xfId="5" applyFont="1" applyFill="1" applyBorder="1" applyAlignment="1" applyProtection="1">
      <alignment horizontal="left" vertical="center" wrapText="1"/>
    </xf>
    <xf numFmtId="168" fontId="17" fillId="53" borderId="24" xfId="5" applyNumberFormat="1" applyFont="1" applyFill="1" applyBorder="1" applyAlignment="1" applyProtection="1">
      <alignment horizontal="center" vertical="center"/>
      <protection locked="0"/>
    </xf>
    <xf numFmtId="0" fontId="17" fillId="8" borderId="23" xfId="5" applyFont="1" applyFill="1" applyBorder="1" applyAlignment="1" applyProtection="1">
      <alignment horizontal="left" vertical="center" wrapText="1"/>
      <protection locked="0"/>
    </xf>
    <xf numFmtId="0" fontId="17" fillId="53" borderId="24" xfId="5" applyFont="1" applyFill="1" applyBorder="1" applyAlignment="1" applyProtection="1">
      <alignment horizontal="left" vertical="center" wrapText="1"/>
      <protection locked="0"/>
    </xf>
    <xf numFmtId="3" fontId="78" fillId="2" borderId="24" xfId="5" applyNumberFormat="1" applyFont="1" applyFill="1" applyBorder="1" applyAlignment="1" applyProtection="1">
      <alignment horizontal="center" vertical="center" wrapText="1"/>
      <protection locked="0"/>
    </xf>
    <xf numFmtId="3" fontId="99" fillId="0" borderId="24" xfId="5" applyNumberFormat="1" applyFont="1" applyFill="1" applyBorder="1" applyAlignment="1" applyProtection="1">
      <alignment horizontal="center" vertical="center"/>
      <protection locked="0"/>
    </xf>
    <xf numFmtId="168" fontId="17" fillId="0" borderId="24" xfId="5" applyNumberFormat="1" applyFont="1" applyFill="1" applyBorder="1" applyAlignment="1" applyProtection="1">
      <alignment horizontal="center" vertical="center"/>
      <protection locked="0"/>
    </xf>
    <xf numFmtId="0" fontId="17" fillId="0" borderId="25" xfId="5" applyFont="1" applyFill="1" applyBorder="1" applyAlignment="1" applyProtection="1">
      <alignment horizontal="left" vertical="center" wrapText="1"/>
      <protection locked="0"/>
    </xf>
    <xf numFmtId="0" fontId="17" fillId="0" borderId="26" xfId="5" applyFont="1" applyFill="1" applyBorder="1" applyAlignment="1" applyProtection="1">
      <alignment horizontal="left" vertical="center" wrapText="1"/>
      <protection locked="0"/>
    </xf>
    <xf numFmtId="0" fontId="17" fillId="0" borderId="26" xfId="5" applyFont="1" applyFill="1" applyBorder="1" applyAlignment="1" applyProtection="1">
      <alignment horizontal="center" vertical="center" wrapText="1"/>
      <protection locked="0"/>
    </xf>
    <xf numFmtId="3" fontId="17" fillId="0" borderId="26" xfId="13" applyNumberFormat="1" applyFont="1" applyFill="1" applyBorder="1" applyAlignment="1">
      <alignment horizontal="center" vertical="center"/>
    </xf>
    <xf numFmtId="3" fontId="17" fillId="0" borderId="26" xfId="5" applyNumberFormat="1" applyFont="1" applyFill="1" applyBorder="1" applyAlignment="1" applyProtection="1">
      <alignment horizontal="center" vertical="center" wrapText="1"/>
      <protection locked="0"/>
    </xf>
    <xf numFmtId="3" fontId="17" fillId="0" borderId="26" xfId="5" applyNumberFormat="1" applyFont="1" applyFill="1" applyBorder="1" applyAlignment="1" applyProtection="1">
      <alignment horizontal="center" vertical="center"/>
      <protection locked="0"/>
    </xf>
    <xf numFmtId="164" fontId="17" fillId="0" borderId="26" xfId="14" applyNumberFormat="1" applyFont="1" applyFill="1" applyBorder="1" applyAlignment="1" applyProtection="1">
      <alignment horizontal="center" vertical="center"/>
      <protection locked="0"/>
    </xf>
    <xf numFmtId="164" fontId="38" fillId="0" borderId="26" xfId="14" applyNumberFormat="1" applyFont="1" applyBorder="1" applyAlignment="1" applyProtection="1">
      <alignment horizontal="center" vertical="center"/>
      <protection locked="0"/>
    </xf>
    <xf numFmtId="164" fontId="17" fillId="0" borderId="26" xfId="5" applyNumberFormat="1" applyFont="1" applyFill="1" applyBorder="1" applyAlignment="1" applyProtection="1">
      <alignment horizontal="center" vertical="center" wrapText="1"/>
    </xf>
    <xf numFmtId="167" fontId="17" fillId="0" borderId="26" xfId="5" applyNumberFormat="1" applyFont="1" applyFill="1" applyBorder="1" applyAlignment="1" applyProtection="1">
      <alignment horizontal="center" vertical="center" wrapText="1"/>
      <protection locked="0"/>
    </xf>
    <xf numFmtId="3" fontId="17" fillId="0" borderId="26" xfId="0" applyNumberFormat="1" applyFont="1" applyFill="1" applyBorder="1" applyAlignment="1" applyProtection="1">
      <alignment horizontal="center" vertical="center"/>
    </xf>
    <xf numFmtId="164" fontId="89" fillId="0" borderId="26" xfId="14" applyNumberFormat="1" applyFont="1" applyBorder="1" applyAlignment="1">
      <alignment horizontal="center" vertical="center"/>
    </xf>
    <xf numFmtId="3" fontId="80" fillId="0" borderId="26" xfId="0" applyNumberFormat="1" applyFont="1" applyBorder="1" applyAlignment="1" applyProtection="1">
      <alignment horizontal="center" vertical="center"/>
    </xf>
    <xf numFmtId="164" fontId="80" fillId="0" borderId="26" xfId="0" applyNumberFormat="1" applyFont="1" applyBorder="1" applyAlignment="1" applyProtection="1">
      <alignment horizontal="center" vertical="center"/>
    </xf>
    <xf numFmtId="0" fontId="90" fillId="0" borderId="26" xfId="15" applyFont="1" applyBorder="1" applyAlignment="1">
      <alignment horizontal="left" vertical="center" wrapText="1"/>
    </xf>
    <xf numFmtId="3" fontId="90" fillId="0" borderId="26" xfId="15" applyNumberFormat="1" applyFont="1" applyBorder="1" applyAlignment="1">
      <alignment horizontal="center" vertical="center" wrapText="1"/>
    </xf>
    <xf numFmtId="0" fontId="38" fillId="0" borderId="26" xfId="5" applyNumberFormat="1" applyFont="1" applyFill="1" applyBorder="1" applyAlignment="1" applyProtection="1">
      <alignment horizontal="center" vertical="center"/>
      <protection locked="0"/>
    </xf>
    <xf numFmtId="164" fontId="17" fillId="0" borderId="26" xfId="5" applyNumberFormat="1" applyFont="1" applyFill="1" applyBorder="1" applyAlignment="1" applyProtection="1">
      <alignment horizontal="center" vertical="center"/>
      <protection locked="0"/>
    </xf>
    <xf numFmtId="3" fontId="17" fillId="0" borderId="27" xfId="5" applyNumberFormat="1" applyFont="1" applyFill="1" applyBorder="1" applyAlignment="1" applyProtection="1">
      <alignment horizontal="center" vertical="center"/>
      <protection locked="0"/>
    </xf>
    <xf numFmtId="3" fontId="74" fillId="0" borderId="0" xfId="0" applyNumberFormat="1" applyFont="1" applyBorder="1"/>
    <xf numFmtId="3" fontId="85" fillId="0" borderId="0" xfId="0" applyNumberFormat="1" applyFont="1" applyBorder="1"/>
    <xf numFmtId="0" fontId="20" fillId="3" borderId="22" xfId="5" applyFont="1" applyFill="1" applyBorder="1" applyAlignment="1" applyProtection="1">
      <alignment horizontal="center" vertical="center" wrapText="1"/>
    </xf>
    <xf numFmtId="0" fontId="20" fillId="3" borderId="2" xfId="5" applyFont="1" applyFill="1" applyBorder="1" applyAlignment="1" applyProtection="1">
      <alignment horizontal="center" vertical="center" wrapText="1"/>
    </xf>
    <xf numFmtId="0" fontId="94" fillId="3" borderId="2" xfId="5" applyFont="1" applyFill="1" applyBorder="1" applyAlignment="1" applyProtection="1">
      <alignment horizontal="center" vertical="center" wrapText="1"/>
    </xf>
    <xf numFmtId="0" fontId="20" fillId="3" borderId="24" xfId="5" applyFont="1" applyFill="1" applyBorder="1" applyAlignment="1" applyProtection="1">
      <alignment horizontal="center" vertical="center" wrapText="1"/>
    </xf>
    <xf numFmtId="0" fontId="74" fillId="0" borderId="0" xfId="0" applyFont="1" applyAlignment="1">
      <alignment horizontal="center"/>
    </xf>
    <xf numFmtId="0" fontId="74" fillId="0" borderId="0" xfId="0" applyFont="1" applyFill="1" applyAlignment="1">
      <alignment wrapText="1"/>
    </xf>
    <xf numFmtId="164" fontId="78" fillId="0" borderId="0" xfId="5" applyNumberFormat="1" applyFont="1" applyFill="1" applyBorder="1" applyAlignment="1" applyProtection="1">
      <alignment horizontal="center" vertical="center" wrapText="1"/>
      <protection locked="0"/>
    </xf>
    <xf numFmtId="0" fontId="110" fillId="0" borderId="0" xfId="0" applyFont="1" applyAlignment="1">
      <alignment vertical="center"/>
    </xf>
    <xf numFmtId="0" fontId="111" fillId="0" borderId="0" xfId="0" applyFont="1"/>
    <xf numFmtId="0" fontId="111" fillId="0" borderId="0" xfId="0" applyFont="1" applyFill="1"/>
    <xf numFmtId="0" fontId="109" fillId="0" borderId="0" xfId="0" applyFont="1" applyFill="1" applyAlignment="1">
      <alignment vertical="center"/>
    </xf>
    <xf numFmtId="0" fontId="109" fillId="0" borderId="0" xfId="0" applyFont="1" applyFill="1" applyAlignment="1">
      <alignment horizontal="left" vertical="center"/>
    </xf>
    <xf numFmtId="0" fontId="112" fillId="0" borderId="0" xfId="245" applyFill="1" applyAlignment="1">
      <alignment vertical="center"/>
    </xf>
    <xf numFmtId="3" fontId="18" fillId="56" borderId="2" xfId="0" applyNumberFormat="1" applyFont="1" applyFill="1" applyBorder="1" applyAlignment="1" applyProtection="1">
      <alignment horizontal="center" vertical="center"/>
      <protection locked="0"/>
    </xf>
    <xf numFmtId="0" fontId="88" fillId="56" borderId="0" xfId="0" applyFont="1" applyFill="1"/>
    <xf numFmtId="0" fontId="87" fillId="55" borderId="2" xfId="5" applyFont="1" applyFill="1" applyBorder="1" applyAlignment="1" applyProtection="1">
      <alignment horizontal="center" vertical="center"/>
      <protection locked="0"/>
    </xf>
    <xf numFmtId="0" fontId="86" fillId="0" borderId="0" xfId="5" applyFont="1" applyFill="1" applyAlignment="1" applyProtection="1">
      <protection locked="0"/>
    </xf>
    <xf numFmtId="4" fontId="74" fillId="0" borderId="0" xfId="0" applyNumberFormat="1" applyFont="1" applyFill="1"/>
    <xf numFmtId="3" fontId="20" fillId="0" borderId="2" xfId="0" applyNumberFormat="1" applyFont="1" applyFill="1" applyBorder="1" applyAlignment="1" applyProtection="1">
      <alignment horizontal="center" vertical="center"/>
      <protection locked="0"/>
    </xf>
    <xf numFmtId="0" fontId="113" fillId="0" borderId="2" xfId="0" applyFont="1" applyBorder="1" applyProtection="1"/>
    <xf numFmtId="0" fontId="85" fillId="0" borderId="0" xfId="0" applyFont="1" applyFill="1"/>
    <xf numFmtId="0" fontId="85" fillId="0" borderId="0" xfId="0" applyFont="1" applyProtection="1"/>
    <xf numFmtId="0" fontId="76" fillId="3" borderId="2" xfId="5" applyFont="1" applyFill="1" applyBorder="1" applyAlignment="1" applyProtection="1">
      <alignment horizontal="left" vertical="center" wrapText="1"/>
    </xf>
    <xf numFmtId="0" fontId="76" fillId="3" borderId="2" xfId="5" applyFont="1" applyFill="1" applyBorder="1" applyAlignment="1" applyProtection="1">
      <alignment horizontal="center" vertical="center" wrapText="1"/>
    </xf>
    <xf numFmtId="3" fontId="76" fillId="3" borderId="2" xfId="5" applyNumberFormat="1" applyFont="1" applyFill="1" applyBorder="1" applyAlignment="1" applyProtection="1">
      <alignment horizontal="center" vertical="center" wrapText="1"/>
    </xf>
    <xf numFmtId="0" fontId="115" fillId="56" borderId="0" xfId="0" applyFont="1" applyFill="1"/>
    <xf numFmtId="3" fontId="85" fillId="0" borderId="0" xfId="0" applyNumberFormat="1" applyFont="1" applyProtection="1"/>
    <xf numFmtId="0" fontId="20" fillId="58" borderId="2" xfId="5" applyFont="1" applyFill="1" applyBorder="1" applyAlignment="1" applyProtection="1">
      <alignment horizontal="center" vertical="center" wrapText="1"/>
    </xf>
    <xf numFmtId="0" fontId="88" fillId="0" borderId="0" xfId="0" applyFont="1" applyProtection="1"/>
    <xf numFmtId="0" fontId="20" fillId="0" borderId="2" xfId="0" applyFont="1" applyBorder="1" applyAlignment="1" applyProtection="1">
      <alignment horizontal="left" vertical="center" wrapText="1"/>
    </xf>
    <xf numFmtId="0" fontId="20" fillId="0" borderId="2" xfId="0" applyFont="1" applyBorder="1" applyProtection="1"/>
    <xf numFmtId="3" fontId="20" fillId="0" borderId="2" xfId="0" applyNumberFormat="1" applyFont="1" applyBorder="1" applyProtection="1"/>
    <xf numFmtId="0" fontId="75" fillId="0" borderId="0" xfId="0" applyFont="1" applyProtection="1"/>
    <xf numFmtId="0" fontId="20" fillId="56" borderId="28" xfId="5" applyFont="1" applyFill="1" applyBorder="1" applyAlignment="1" applyProtection="1">
      <alignment vertical="center" wrapText="1"/>
      <protection locked="0"/>
    </xf>
    <xf numFmtId="0" fontId="20" fillId="56" borderId="18" xfId="5" applyFont="1" applyFill="1" applyBorder="1" applyAlignment="1" applyProtection="1">
      <alignment vertical="center" wrapText="1"/>
      <protection locked="0"/>
    </xf>
    <xf numFmtId="0" fontId="20" fillId="56" borderId="19" xfId="5" applyFont="1" applyFill="1" applyBorder="1" applyAlignment="1" applyProtection="1">
      <alignment vertical="center" wrapText="1"/>
      <protection locked="0"/>
    </xf>
    <xf numFmtId="0" fontId="18" fillId="3" borderId="30" xfId="5" applyFont="1" applyFill="1" applyBorder="1" applyAlignment="1" applyProtection="1">
      <alignment horizontal="center" vertical="center" wrapText="1"/>
    </xf>
    <xf numFmtId="3" fontId="113" fillId="0" borderId="2" xfId="0" applyNumberFormat="1" applyFont="1" applyBorder="1" applyProtection="1"/>
    <xf numFmtId="3" fontId="17" fillId="0" borderId="2" xfId="5" applyNumberFormat="1" applyFont="1" applyFill="1" applyBorder="1" applyAlignment="1" applyProtection="1">
      <alignment horizontal="center" vertical="center"/>
      <protection locked="0"/>
    </xf>
    <xf numFmtId="164" fontId="78" fillId="0" borderId="0" xfId="5" applyNumberFormat="1" applyFont="1" applyFill="1" applyBorder="1" applyAlignment="1" applyProtection="1">
      <alignment horizontal="center" vertical="center" wrapText="1"/>
      <protection locked="0"/>
    </xf>
    <xf numFmtId="3" fontId="17" fillId="57" borderId="2"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49" fontId="20" fillId="58" borderId="2" xfId="5" applyNumberFormat="1" applyFont="1" applyFill="1" applyBorder="1" applyAlignment="1" applyProtection="1">
      <alignment horizontal="center" vertical="center" wrapText="1"/>
    </xf>
    <xf numFmtId="3" fontId="17" fillId="8" borderId="2" xfId="0" applyNumberFormat="1" applyFont="1" applyFill="1" applyBorder="1" applyAlignment="1" applyProtection="1">
      <alignment horizontal="center" vertical="center"/>
      <protection locked="0"/>
    </xf>
    <xf numFmtId="3" fontId="85" fillId="0" borderId="0" xfId="0" applyNumberFormat="1" applyFont="1" applyFill="1"/>
    <xf numFmtId="3" fontId="85" fillId="0" borderId="0" xfId="0" applyNumberFormat="1" applyFont="1"/>
    <xf numFmtId="3" fontId="38" fillId="0" borderId="2" xfId="0" applyNumberFormat="1" applyFont="1" applyFill="1" applyBorder="1" applyAlignment="1" applyProtection="1">
      <alignment horizontal="left" vertical="center" wrapText="1"/>
      <protection locked="0"/>
    </xf>
    <xf numFmtId="3" fontId="125" fillId="57" borderId="2" xfId="5" applyNumberFormat="1" applyFont="1" applyFill="1" applyBorder="1" applyAlignment="1" applyProtection="1">
      <alignment horizontal="center" vertical="center"/>
      <protection locked="0"/>
    </xf>
    <xf numFmtId="3" fontId="125" fillId="8" borderId="2" xfId="5" applyNumberFormat="1" applyFont="1" applyFill="1" applyBorder="1" applyAlignment="1" applyProtection="1">
      <alignment horizontal="center" vertical="center"/>
      <protection locked="0"/>
    </xf>
    <xf numFmtId="0" fontId="114" fillId="0" borderId="0" xfId="0" applyFont="1" applyAlignment="1">
      <alignment horizontal="left"/>
    </xf>
    <xf numFmtId="0" fontId="87" fillId="0" borderId="0" xfId="5" applyFont="1" applyBorder="1" applyAlignment="1" applyProtection="1">
      <alignment horizontal="left"/>
      <protection locked="0"/>
    </xf>
    <xf numFmtId="0" fontId="75" fillId="0" borderId="0" xfId="0" applyFont="1" applyBorder="1"/>
    <xf numFmtId="3" fontId="20" fillId="0" borderId="2" xfId="0" applyNumberFormat="1" applyFont="1" applyFill="1" applyBorder="1" applyAlignment="1" applyProtection="1">
      <alignment horizontal="left" vertical="center"/>
      <protection locked="0"/>
    </xf>
    <xf numFmtId="0" fontId="123" fillId="3" borderId="30" xfId="5" applyFont="1" applyFill="1" applyBorder="1" applyAlignment="1" applyProtection="1">
      <alignment horizontal="center" vertical="center" wrapText="1"/>
    </xf>
    <xf numFmtId="3" fontId="123" fillId="56" borderId="2" xfId="0"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60" borderId="2" xfId="5" applyNumberFormat="1" applyFont="1" applyFill="1" applyBorder="1" applyAlignment="1" applyProtection="1">
      <alignment horizontal="center" vertical="center"/>
      <protection locked="0"/>
    </xf>
    <xf numFmtId="0" fontId="122" fillId="0" borderId="0" xfId="0" applyFont="1" applyBorder="1"/>
    <xf numFmtId="3" fontId="123" fillId="3" borderId="2" xfId="5" applyNumberFormat="1" applyFont="1" applyFill="1" applyBorder="1" applyAlignment="1" applyProtection="1">
      <alignment horizontal="center" vertical="center" wrapText="1"/>
    </xf>
    <xf numFmtId="3" fontId="124" fillId="0" borderId="2" xfId="0" applyNumberFormat="1" applyFont="1" applyFill="1" applyBorder="1" applyAlignment="1" applyProtection="1">
      <alignment horizontal="center" vertical="center"/>
      <protection locked="0"/>
    </xf>
    <xf numFmtId="0" fontId="74" fillId="0" borderId="0" xfId="0" applyFont="1" applyAlignment="1">
      <alignment horizontal="left"/>
    </xf>
    <xf numFmtId="0" fontId="80" fillId="0" borderId="2" xfId="0" applyFont="1" applyFill="1" applyBorder="1" applyAlignment="1">
      <alignment horizontal="left" vertical="top" wrapText="1"/>
    </xf>
    <xf numFmtId="3" fontId="38" fillId="61" borderId="2" xfId="0" applyNumberFormat="1" applyFont="1" applyFill="1" applyBorder="1" applyAlignment="1" applyProtection="1">
      <alignment horizontal="left" vertical="center" wrapText="1"/>
      <protection locked="0"/>
    </xf>
    <xf numFmtId="0" fontId="86" fillId="0" borderId="0" xfId="5" applyFont="1" applyAlignment="1" applyProtection="1">
      <alignment horizontal="left"/>
      <protection locked="0"/>
    </xf>
    <xf numFmtId="0" fontId="116" fillId="0" borderId="0" xfId="5" applyFont="1" applyAlignment="1" applyProtection="1">
      <alignment horizontal="left"/>
      <protection locked="0"/>
    </xf>
    <xf numFmtId="164" fontId="126" fillId="0" borderId="0" xfId="5" applyNumberFormat="1" applyFont="1" applyFill="1" applyBorder="1" applyAlignment="1" applyProtection="1">
      <alignment horizontal="center" vertical="center" wrapText="1"/>
      <protection locked="0"/>
    </xf>
    <xf numFmtId="49" fontId="124" fillId="58" borderId="2" xfId="5" applyNumberFormat="1" applyFont="1" applyFill="1" applyBorder="1" applyAlignment="1" applyProtection="1">
      <alignment horizontal="center" vertical="center" wrapText="1"/>
    </xf>
    <xf numFmtId="3" fontId="20" fillId="56" borderId="2" xfId="0" applyNumberFormat="1" applyFont="1" applyFill="1" applyBorder="1" applyAlignment="1" applyProtection="1">
      <alignment horizontal="left" vertical="center"/>
      <protection locked="0"/>
    </xf>
    <xf numFmtId="3" fontId="38" fillId="0" borderId="2" xfId="0" applyNumberFormat="1" applyFont="1" applyFill="1" applyBorder="1" applyAlignment="1" applyProtection="1">
      <alignment horizontal="left" vertical="center"/>
      <protection locked="0"/>
    </xf>
    <xf numFmtId="0" fontId="74" fillId="0" borderId="0" xfId="0" applyFont="1" applyFill="1" applyAlignment="1">
      <alignment horizontal="left"/>
    </xf>
    <xf numFmtId="3" fontId="125" fillId="57" borderId="2" xfId="0" applyNumberFormat="1" applyFont="1" applyFill="1" applyBorder="1" applyAlignment="1" applyProtection="1">
      <alignment horizontal="center" vertical="center"/>
      <protection locked="0"/>
    </xf>
    <xf numFmtId="3" fontId="113" fillId="56" borderId="2" xfId="0" applyNumberFormat="1" applyFont="1" applyFill="1" applyBorder="1" applyAlignment="1" applyProtection="1">
      <alignment horizontal="left" vertical="center"/>
      <protection locked="0"/>
    </xf>
    <xf numFmtId="3" fontId="113" fillId="3" borderId="2" xfId="5" applyNumberFormat="1" applyFont="1" applyFill="1" applyBorder="1" applyAlignment="1" applyProtection="1">
      <alignment horizontal="left" vertical="center" wrapText="1"/>
    </xf>
    <xf numFmtId="3" fontId="125" fillId="0" borderId="2" xfId="0" applyNumberFormat="1" applyFont="1" applyFill="1" applyBorder="1" applyAlignment="1" applyProtection="1">
      <alignment horizontal="center" vertical="center"/>
      <protection locked="0"/>
    </xf>
    <xf numFmtId="0" fontId="0" fillId="0" borderId="0" xfId="0"/>
    <xf numFmtId="0" fontId="18" fillId="3" borderId="4" xfId="5" applyFont="1" applyFill="1" applyBorder="1" applyAlignment="1" applyProtection="1">
      <alignment horizontal="center" vertical="center" wrapText="1"/>
    </xf>
    <xf numFmtId="3" fontId="18" fillId="3" borderId="2" xfId="5"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center" vertical="center"/>
      <protection locked="0"/>
    </xf>
    <xf numFmtId="0" fontId="74" fillId="0" borderId="0" xfId="0" applyFont="1" applyFill="1"/>
    <xf numFmtId="0" fontId="75" fillId="0" borderId="0" xfId="0" applyFont="1" applyFill="1"/>
    <xf numFmtId="0" fontId="87" fillId="0" borderId="0" xfId="5" applyFont="1" applyFill="1" applyBorder="1" applyAlignment="1" applyProtection="1">
      <protection locked="0"/>
    </xf>
    <xf numFmtId="164" fontId="78" fillId="0" borderId="0" xfId="5" applyNumberFormat="1" applyFont="1" applyFill="1" applyBorder="1" applyAlignment="1" applyProtection="1">
      <alignment horizontal="center" vertical="center" wrapText="1"/>
      <protection locked="0"/>
    </xf>
    <xf numFmtId="0" fontId="111" fillId="0" borderId="0" xfId="0" applyFont="1" applyFill="1"/>
    <xf numFmtId="3" fontId="18" fillId="56" borderId="2" xfId="0" applyNumberFormat="1" applyFont="1" applyFill="1" applyBorder="1" applyAlignment="1" applyProtection="1">
      <alignment horizontal="center" vertical="center"/>
      <protection locked="0"/>
    </xf>
    <xf numFmtId="0" fontId="86" fillId="0" borderId="0" xfId="5" applyFont="1" applyFill="1" applyAlignment="1" applyProtection="1">
      <protection locked="0"/>
    </xf>
    <xf numFmtId="4" fontId="74" fillId="0" borderId="0" xfId="0" applyNumberFormat="1" applyFont="1" applyFill="1"/>
    <xf numFmtId="3" fontId="20" fillId="0" borderId="2" xfId="0" applyNumberFormat="1" applyFont="1" applyFill="1" applyBorder="1" applyAlignment="1" applyProtection="1">
      <alignment horizontal="center" vertical="center"/>
      <protection locked="0"/>
    </xf>
    <xf numFmtId="0" fontId="76" fillId="3" borderId="2" xfId="5" applyFont="1" applyFill="1" applyBorder="1" applyAlignment="1" applyProtection="1">
      <alignment horizontal="left" vertical="center" wrapText="1"/>
    </xf>
    <xf numFmtId="0" fontId="76" fillId="3" borderId="2" xfId="5" applyFont="1" applyFill="1" applyBorder="1" applyAlignment="1" applyProtection="1">
      <alignment horizontal="center" vertical="center" wrapText="1"/>
    </xf>
    <xf numFmtId="0" fontId="20" fillId="58" borderId="2" xfId="5" applyFont="1" applyFill="1" applyBorder="1" applyAlignment="1" applyProtection="1">
      <alignment horizontal="center" vertical="center" wrapText="1"/>
    </xf>
    <xf numFmtId="0" fontId="18" fillId="3" borderId="30" xfId="5" applyFont="1" applyFill="1" applyBorder="1" applyAlignment="1" applyProtection="1">
      <alignment horizontal="center" vertical="center" wrapText="1"/>
    </xf>
    <xf numFmtId="3" fontId="128" fillId="0" borderId="2" xfId="0" applyNumberFormat="1" applyFont="1" applyFill="1" applyBorder="1" applyAlignment="1" applyProtection="1">
      <alignment horizontal="center" vertical="center"/>
      <protection locked="0"/>
    </xf>
    <xf numFmtId="3" fontId="128" fillId="3" borderId="2" xfId="5" applyNumberFormat="1" applyFont="1" applyFill="1" applyBorder="1" applyAlignment="1" applyProtection="1">
      <alignment horizontal="center" vertical="center" wrapText="1"/>
    </xf>
    <xf numFmtId="3" fontId="128" fillId="56" borderId="2" xfId="0" applyNumberFormat="1" applyFont="1" applyFill="1" applyBorder="1" applyAlignment="1" applyProtection="1">
      <alignment horizontal="center" vertical="center"/>
      <protection locked="0"/>
    </xf>
    <xf numFmtId="0" fontId="90" fillId="8" borderId="0" xfId="0" applyFont="1" applyFill="1" applyAlignment="1">
      <alignment wrapText="1"/>
    </xf>
    <xf numFmtId="0" fontId="90" fillId="0" borderId="0" xfId="0" applyFont="1" applyAlignment="1">
      <alignment wrapText="1"/>
    </xf>
    <xf numFmtId="0" fontId="129" fillId="0" borderId="2" xfId="0" applyFont="1" applyBorder="1" applyAlignment="1">
      <alignment horizontal="center" vertical="center" wrapText="1"/>
    </xf>
    <xf numFmtId="3" fontId="129" fillId="0" borderId="2" xfId="0" applyNumberFormat="1" applyFont="1" applyFill="1" applyBorder="1" applyAlignment="1">
      <alignment horizontal="center" vertical="center" wrapText="1"/>
    </xf>
    <xf numFmtId="0" fontId="129" fillId="0" borderId="2" xfId="0" applyFont="1" applyFill="1" applyBorder="1" applyAlignment="1">
      <alignment horizontal="center" vertical="center" wrapText="1"/>
    </xf>
    <xf numFmtId="9" fontId="129" fillId="0" borderId="2" xfId="0" applyNumberFormat="1" applyFont="1" applyFill="1" applyBorder="1" applyAlignment="1">
      <alignment horizontal="center" vertical="center" wrapText="1"/>
    </xf>
    <xf numFmtId="9" fontId="129" fillId="8" borderId="2" xfId="0" applyNumberFormat="1" applyFont="1" applyFill="1" applyBorder="1" applyAlignment="1">
      <alignment horizontal="center" vertical="center" wrapText="1"/>
    </xf>
    <xf numFmtId="0" fontId="129" fillId="8" borderId="2" xfId="0" applyFont="1" applyFill="1" applyBorder="1" applyAlignment="1">
      <alignment horizontal="center" vertical="center" wrapText="1"/>
    </xf>
    <xf numFmtId="9" fontId="129" fillId="0" borderId="33" xfId="0" applyNumberFormat="1" applyFont="1" applyFill="1" applyBorder="1" applyAlignment="1">
      <alignment horizontal="center" vertical="center" wrapText="1"/>
    </xf>
    <xf numFmtId="0" fontId="129" fillId="0" borderId="21" xfId="0" applyFont="1" applyFill="1" applyBorder="1" applyAlignment="1">
      <alignment horizontal="center" vertical="center" wrapText="1"/>
    </xf>
    <xf numFmtId="9" fontId="129" fillId="0" borderId="21" xfId="0" applyNumberFormat="1" applyFont="1" applyFill="1" applyBorder="1" applyAlignment="1">
      <alignment horizontal="center" vertical="center" wrapText="1"/>
    </xf>
    <xf numFmtId="9" fontId="129" fillId="0" borderId="22" xfId="0" applyNumberFormat="1" applyFont="1" applyFill="1" applyBorder="1" applyAlignment="1">
      <alignment horizontal="center" vertical="center" wrapText="1"/>
    </xf>
    <xf numFmtId="170" fontId="129" fillId="0" borderId="2" xfId="0" applyNumberFormat="1" applyFont="1" applyFill="1" applyBorder="1" applyAlignment="1">
      <alignment horizontal="center" vertical="center" wrapText="1"/>
    </xf>
    <xf numFmtId="3" fontId="129" fillId="8" borderId="2" xfId="0" applyNumberFormat="1" applyFont="1" applyFill="1" applyBorder="1" applyAlignment="1">
      <alignment horizontal="center" vertical="center" wrapText="1"/>
    </xf>
    <xf numFmtId="3" fontId="129" fillId="0" borderId="34" xfId="0" applyNumberFormat="1" applyFont="1" applyFill="1" applyBorder="1" applyAlignment="1">
      <alignment horizontal="center" vertical="center" wrapText="1"/>
    </xf>
    <xf numFmtId="3" fontId="129" fillId="0" borderId="31" xfId="0" applyNumberFormat="1" applyFont="1" applyFill="1" applyBorder="1" applyAlignment="1">
      <alignment horizontal="center" vertical="center" wrapText="1"/>
    </xf>
    <xf numFmtId="3" fontId="129" fillId="0" borderId="2" xfId="0" applyNumberFormat="1" applyFont="1" applyFill="1" applyBorder="1" applyAlignment="1">
      <alignment vertical="center" wrapText="1"/>
    </xf>
    <xf numFmtId="3" fontId="129" fillId="0" borderId="2" xfId="0" applyNumberFormat="1" applyFont="1" applyBorder="1" applyAlignment="1">
      <alignment horizontal="center" vertical="center" wrapText="1"/>
    </xf>
    <xf numFmtId="170" fontId="129" fillId="0" borderId="2" xfId="0" applyNumberFormat="1" applyFont="1" applyBorder="1" applyAlignment="1">
      <alignment horizontal="center" vertical="center" wrapText="1"/>
    </xf>
    <xf numFmtId="0" fontId="0" fillId="8" borderId="2" xfId="0" applyFill="1" applyBorder="1"/>
    <xf numFmtId="0" fontId="0" fillId="0" borderId="2" xfId="0" applyBorder="1"/>
    <xf numFmtId="0" fontId="0" fillId="0" borderId="0" xfId="0" applyBorder="1"/>
    <xf numFmtId="0" fontId="0" fillId="0" borderId="37" xfId="0" applyBorder="1"/>
    <xf numFmtId="0" fontId="129" fillId="63" borderId="2" xfId="0" applyFont="1" applyFill="1" applyBorder="1" applyAlignment="1">
      <alignment wrapText="1"/>
    </xf>
    <xf numFmtId="3" fontId="129" fillId="63" borderId="2" xfId="0" applyNumberFormat="1" applyFont="1" applyFill="1" applyBorder="1" applyAlignment="1">
      <alignment wrapText="1"/>
    </xf>
    <xf numFmtId="9" fontId="129" fillId="63" borderId="2" xfId="0" applyNumberFormat="1" applyFont="1" applyFill="1" applyBorder="1" applyAlignment="1">
      <alignment wrapText="1"/>
    </xf>
    <xf numFmtId="3" fontId="129" fillId="63" borderId="19" xfId="0" applyNumberFormat="1" applyFont="1" applyFill="1" applyBorder="1" applyAlignment="1">
      <alignment wrapText="1"/>
    </xf>
    <xf numFmtId="9" fontId="129" fillId="63" borderId="24" xfId="0" applyNumberFormat="1" applyFont="1" applyFill="1" applyBorder="1" applyAlignment="1">
      <alignment wrapText="1"/>
    </xf>
    <xf numFmtId="0" fontId="130" fillId="0" borderId="2" xfId="0" applyFont="1" applyBorder="1"/>
    <xf numFmtId="3" fontId="130" fillId="0" borderId="2" xfId="0" applyNumberFormat="1" applyFont="1" applyFill="1" applyBorder="1"/>
    <xf numFmtId="9" fontId="130" fillId="0" borderId="2" xfId="0" applyNumberFormat="1" applyFont="1" applyFill="1" applyBorder="1"/>
    <xf numFmtId="9" fontId="130" fillId="0" borderId="2" xfId="0" applyNumberFormat="1" applyFont="1" applyFill="1" applyBorder="1" applyAlignment="1">
      <alignment horizontal="right"/>
    </xf>
    <xf numFmtId="3" fontId="130" fillId="8" borderId="2" xfId="0" applyNumberFormat="1" applyFont="1" applyFill="1" applyBorder="1"/>
    <xf numFmtId="3" fontId="130" fillId="0" borderId="19" xfId="0" applyNumberFormat="1" applyFont="1" applyFill="1" applyBorder="1"/>
    <xf numFmtId="9" fontId="130" fillId="0" borderId="24" xfId="0" applyNumberFormat="1" applyFont="1" applyFill="1" applyBorder="1" applyAlignment="1">
      <alignment horizontal="right"/>
    </xf>
    <xf numFmtId="9" fontId="130" fillId="53" borderId="2" xfId="0" applyNumberFormat="1" applyFont="1" applyFill="1" applyBorder="1" applyAlignment="1">
      <alignment horizontal="right"/>
    </xf>
    <xf numFmtId="0" fontId="130" fillId="0" borderId="2" xfId="0" applyFont="1" applyFill="1" applyBorder="1"/>
    <xf numFmtId="0" fontId="129" fillId="63" borderId="2" xfId="0" applyFont="1" applyFill="1" applyBorder="1" applyAlignment="1">
      <alignment vertical="center" wrapText="1"/>
    </xf>
    <xf numFmtId="9" fontId="130" fillId="59" borderId="2" xfId="0" applyNumberFormat="1" applyFont="1" applyFill="1" applyBorder="1"/>
    <xf numFmtId="9" fontId="130" fillId="0" borderId="24" xfId="0" applyNumberFormat="1" applyFont="1" applyFill="1" applyBorder="1"/>
    <xf numFmtId="0" fontId="129" fillId="62" borderId="2" xfId="0" applyFont="1" applyFill="1" applyBorder="1"/>
    <xf numFmtId="3" fontId="129" fillId="62" borderId="2" xfId="0" applyNumberFormat="1" applyFont="1" applyFill="1" applyBorder="1"/>
    <xf numFmtId="9" fontId="129" fillId="62" borderId="2" xfId="0" applyNumberFormat="1" applyFont="1" applyFill="1" applyBorder="1"/>
    <xf numFmtId="3" fontId="129" fillId="62" borderId="38" xfId="0" applyNumberFormat="1" applyFont="1" applyFill="1" applyBorder="1"/>
    <xf numFmtId="3" fontId="129" fillId="62" borderId="26" xfId="0" applyNumberFormat="1" applyFont="1" applyFill="1" applyBorder="1"/>
    <xf numFmtId="9" fontId="129" fillId="62" borderId="26" xfId="0" applyNumberFormat="1" applyFont="1" applyFill="1" applyBorder="1"/>
    <xf numFmtId="9" fontId="129" fillId="62" borderId="27" xfId="0" applyNumberFormat="1" applyFont="1" applyFill="1" applyBorder="1"/>
    <xf numFmtId="0" fontId="129" fillId="0" borderId="0" xfId="0" applyFont="1" applyFill="1" applyBorder="1"/>
    <xf numFmtId="3" fontId="129" fillId="0" borderId="0" xfId="0" applyNumberFormat="1" applyFont="1" applyFill="1" applyBorder="1"/>
    <xf numFmtId="0" fontId="131" fillId="0" borderId="0" xfId="0" applyFont="1" applyFill="1"/>
    <xf numFmtId="9" fontId="129" fillId="0" borderId="0" xfId="0" applyNumberFormat="1" applyFont="1" applyFill="1" applyBorder="1"/>
    <xf numFmtId="0" fontId="131" fillId="8" borderId="0" xfId="0" applyFont="1" applyFill="1"/>
    <xf numFmtId="3" fontId="129" fillId="8" borderId="0" xfId="0" applyNumberFormat="1" applyFont="1" applyFill="1" applyBorder="1"/>
    <xf numFmtId="0" fontId="0" fillId="0" borderId="0" xfId="0" applyFill="1"/>
    <xf numFmtId="0" fontId="132" fillId="0" borderId="20" xfId="0" applyFont="1" applyFill="1" applyBorder="1" applyAlignment="1">
      <alignment horizontal="center" vertical="center" wrapText="1"/>
    </xf>
    <xf numFmtId="3" fontId="129" fillId="0" borderId="22" xfId="0" applyNumberFormat="1" applyFont="1" applyFill="1" applyBorder="1" applyAlignment="1">
      <alignment horizontal="center" vertical="center" wrapText="1"/>
    </xf>
    <xf numFmtId="0" fontId="129" fillId="0" borderId="39" xfId="0" applyFont="1" applyFill="1" applyBorder="1" applyAlignment="1">
      <alignment horizontal="center" vertical="center" wrapText="1"/>
    </xf>
    <xf numFmtId="3" fontId="129" fillId="0" borderId="21" xfId="0" applyNumberFormat="1" applyFont="1" applyFill="1" applyBorder="1" applyAlignment="1">
      <alignment horizontal="center" vertical="center" wrapText="1"/>
    </xf>
    <xf numFmtId="3" fontId="129" fillId="8" borderId="21" xfId="0" applyNumberFormat="1" applyFont="1" applyFill="1" applyBorder="1" applyAlignment="1">
      <alignment horizontal="center" vertical="center" wrapText="1"/>
    </xf>
    <xf numFmtId="0" fontId="129" fillId="8" borderId="21" xfId="0" applyFont="1" applyFill="1" applyBorder="1" applyAlignment="1">
      <alignment horizontal="center" vertical="center" wrapText="1"/>
    </xf>
    <xf numFmtId="9" fontId="129" fillId="8" borderId="21" xfId="0" applyNumberFormat="1" applyFont="1" applyFill="1" applyBorder="1" applyAlignment="1">
      <alignment horizontal="center" vertical="center" wrapText="1"/>
    </xf>
    <xf numFmtId="9" fontId="129" fillId="0" borderId="40" xfId="0" applyNumberFormat="1" applyFont="1" applyFill="1" applyBorder="1" applyAlignment="1">
      <alignment horizontal="center" vertical="center" wrapText="1"/>
    </xf>
    <xf numFmtId="9" fontId="129" fillId="0" borderId="20" xfId="0" applyNumberFormat="1" applyFont="1" applyFill="1" applyBorder="1" applyAlignment="1">
      <alignment horizontal="center" vertical="center" wrapText="1"/>
    </xf>
    <xf numFmtId="9" fontId="129" fillId="0" borderId="41" xfId="0" applyNumberFormat="1" applyFont="1" applyFill="1" applyBorder="1" applyAlignment="1">
      <alignment horizontal="center" vertical="center" wrapText="1"/>
    </xf>
    <xf numFmtId="0" fontId="129" fillId="0" borderId="23" xfId="0" applyFont="1" applyBorder="1" applyAlignment="1">
      <alignment horizontal="center" vertical="center" wrapText="1"/>
    </xf>
    <xf numFmtId="3" fontId="129" fillId="0" borderId="24" xfId="0" applyNumberFormat="1" applyFont="1" applyFill="1" applyBorder="1" applyAlignment="1">
      <alignment horizontal="center" vertical="center" wrapText="1"/>
    </xf>
    <xf numFmtId="0" fontId="129" fillId="0" borderId="19" xfId="0" applyFont="1" applyFill="1" applyBorder="1" applyAlignment="1">
      <alignment horizontal="center" vertical="center" wrapText="1"/>
    </xf>
    <xf numFmtId="3" fontId="129" fillId="0" borderId="36" xfId="0" applyNumberFormat="1" applyFont="1" applyFill="1" applyBorder="1" applyAlignment="1">
      <alignment horizontal="center" vertical="center" wrapText="1"/>
    </xf>
    <xf numFmtId="3" fontId="129" fillId="0" borderId="23" xfId="0" applyNumberFormat="1" applyFont="1" applyFill="1" applyBorder="1" applyAlignment="1">
      <alignment horizontal="center" vertical="center" wrapText="1"/>
    </xf>
    <xf numFmtId="3" fontId="129" fillId="0" borderId="42" xfId="0" applyNumberFormat="1" applyFont="1" applyFill="1" applyBorder="1" applyAlignment="1">
      <alignment horizontal="center" vertical="center" wrapText="1"/>
    </xf>
    <xf numFmtId="3" fontId="129" fillId="0" borderId="18" xfId="0" applyNumberFormat="1" applyFont="1" applyFill="1" applyBorder="1" applyAlignment="1">
      <alignment horizontal="center" vertical="center" wrapText="1"/>
    </xf>
    <xf numFmtId="0" fontId="130" fillId="0" borderId="23" xfId="0" applyFont="1" applyBorder="1"/>
    <xf numFmtId="3" fontId="130" fillId="0" borderId="24" xfId="0" applyNumberFormat="1" applyFont="1" applyFill="1" applyBorder="1"/>
    <xf numFmtId="9" fontId="130" fillId="0" borderId="36" xfId="0" applyNumberFormat="1" applyFont="1" applyFill="1" applyBorder="1"/>
    <xf numFmtId="3" fontId="130" fillId="0" borderId="23" xfId="0" applyNumberFormat="1" applyFont="1" applyFill="1" applyBorder="1"/>
    <xf numFmtId="9" fontId="130" fillId="59" borderId="24" xfId="0" applyNumberFormat="1" applyFont="1" applyFill="1" applyBorder="1"/>
    <xf numFmtId="0" fontId="130" fillId="0" borderId="23" xfId="0" applyFont="1" applyBorder="1" applyAlignment="1">
      <alignment wrapText="1"/>
    </xf>
    <xf numFmtId="9" fontId="130" fillId="53" borderId="24" xfId="0" applyNumberFormat="1" applyFont="1" applyFill="1" applyBorder="1"/>
    <xf numFmtId="0" fontId="130" fillId="0" borderId="23" xfId="0" applyFont="1" applyFill="1" applyBorder="1"/>
    <xf numFmtId="0" fontId="129" fillId="62" borderId="25" xfId="0" applyFont="1" applyFill="1" applyBorder="1"/>
    <xf numFmtId="3" fontId="129" fillId="62" borderId="27" xfId="0" applyNumberFormat="1" applyFont="1" applyFill="1" applyBorder="1"/>
    <xf numFmtId="9" fontId="129" fillId="62" borderId="43" xfId="0" applyNumberFormat="1" applyFont="1" applyFill="1" applyBorder="1"/>
    <xf numFmtId="3" fontId="129" fillId="62" borderId="25" xfId="0" applyNumberFormat="1" applyFont="1" applyFill="1" applyBorder="1"/>
    <xf numFmtId="0" fontId="33" fillId="0" borderId="0" xfId="0" applyFont="1" applyFill="1" applyBorder="1"/>
    <xf numFmtId="3" fontId="33" fillId="0" borderId="0" xfId="0" applyNumberFormat="1" applyFont="1" applyFill="1" applyBorder="1"/>
    <xf numFmtId="9" fontId="33" fillId="0" borderId="0" xfId="0" applyNumberFormat="1" applyFont="1" applyFill="1" applyBorder="1"/>
    <xf numFmtId="0" fontId="0" fillId="8" borderId="0" xfId="0" applyFill="1"/>
    <xf numFmtId="0" fontId="131" fillId="0" borderId="0" xfId="0" applyFont="1" applyAlignment="1">
      <alignment vertical="center" wrapText="1"/>
    </xf>
    <xf numFmtId="0" fontId="35" fillId="0" borderId="0" xfId="0" applyFont="1" applyFill="1" applyBorder="1"/>
    <xf numFmtId="3" fontId="133" fillId="0" borderId="0" xfId="0" applyNumberFormat="1" applyFont="1" applyFill="1" applyBorder="1"/>
    <xf numFmtId="9" fontId="133" fillId="0" borderId="0" xfId="0" applyNumberFormat="1" applyFont="1" applyFill="1" applyBorder="1"/>
    <xf numFmtId="0" fontId="46" fillId="0" borderId="0" xfId="0" applyFont="1" applyFill="1" applyBorder="1"/>
    <xf numFmtId="3" fontId="46" fillId="0" borderId="0" xfId="0" applyNumberFormat="1" applyFont="1" applyFill="1" applyBorder="1"/>
    <xf numFmtId="9" fontId="134" fillId="0" borderId="0" xfId="0" applyNumberFormat="1" applyFont="1" applyFill="1" applyBorder="1"/>
    <xf numFmtId="0" fontId="90" fillId="0" borderId="0" xfId="0" applyFont="1"/>
    <xf numFmtId="3" fontId="90" fillId="0" borderId="0" xfId="0" applyNumberFormat="1" applyFont="1"/>
    <xf numFmtId="9" fontId="135" fillId="0" borderId="0" xfId="0" applyNumberFormat="1" applyFont="1"/>
    <xf numFmtId="3" fontId="96" fillId="0" borderId="0" xfId="0" applyNumberFormat="1" applyFont="1" applyAlignment="1" applyProtection="1">
      <alignment horizontal="left" vertical="center"/>
      <protection locked="0"/>
    </xf>
    <xf numFmtId="9" fontId="119" fillId="0" borderId="0" xfId="0" applyNumberFormat="1" applyFont="1" applyAlignment="1" applyProtection="1">
      <alignment horizontal="left" vertical="center"/>
      <protection locked="0"/>
    </xf>
    <xf numFmtId="0" fontId="108" fillId="0" borderId="0" xfId="0" applyFont="1"/>
    <xf numFmtId="0" fontId="136" fillId="0" borderId="0" xfId="0" applyFont="1"/>
    <xf numFmtId="3" fontId="136" fillId="0" borderId="0" xfId="0" applyNumberFormat="1" applyFont="1"/>
    <xf numFmtId="9" fontId="137" fillId="0" borderId="0" xfId="0" applyNumberFormat="1" applyFont="1"/>
    <xf numFmtId="0" fontId="108" fillId="0" borderId="0" xfId="0" applyFont="1" applyAlignment="1">
      <alignment horizontal="left" wrapText="1"/>
    </xf>
    <xf numFmtId="3" fontId="108" fillId="0" borderId="0" xfId="0" applyNumberFormat="1" applyFont="1" applyAlignment="1">
      <alignment horizontal="left" wrapText="1"/>
    </xf>
    <xf numFmtId="9" fontId="138" fillId="0" borderId="0" xfId="0" applyNumberFormat="1" applyFont="1" applyAlignment="1">
      <alignment horizontal="left" wrapText="1"/>
    </xf>
    <xf numFmtId="0" fontId="46" fillId="0" borderId="0" xfId="0" applyFont="1"/>
    <xf numFmtId="3" fontId="139" fillId="0" borderId="0" xfId="0" applyNumberFormat="1" applyFont="1" applyAlignment="1" applyProtection="1">
      <alignment horizontal="left" vertical="center"/>
      <protection locked="0"/>
    </xf>
    <xf numFmtId="9" fontId="140" fillId="0" borderId="0" xfId="0" applyNumberFormat="1" applyFont="1" applyAlignment="1" applyProtection="1">
      <alignment horizontal="left" vertical="center"/>
      <protection locked="0"/>
    </xf>
    <xf numFmtId="49" fontId="46" fillId="0" borderId="0" xfId="0" applyNumberFormat="1" applyFont="1"/>
    <xf numFmtId="49" fontId="46" fillId="0" borderId="0" xfId="245" applyNumberFormat="1" applyFont="1" applyBorder="1" applyAlignment="1" applyProtection="1">
      <alignment horizontal="left"/>
    </xf>
    <xf numFmtId="9" fontId="129" fillId="0" borderId="42" xfId="0" applyNumberFormat="1" applyFont="1" applyFill="1" applyBorder="1" applyAlignment="1">
      <alignment horizontal="center" vertical="center" wrapText="1"/>
    </xf>
    <xf numFmtId="9" fontId="129" fillId="62" borderId="44" xfId="0" applyNumberFormat="1" applyFont="1" applyFill="1" applyBorder="1"/>
    <xf numFmtId="3" fontId="130" fillId="53" borderId="2" xfId="0" applyNumberFormat="1" applyFont="1" applyFill="1" applyBorder="1"/>
    <xf numFmtId="3" fontId="17" fillId="3" borderId="2" xfId="0" applyNumberFormat="1" applyFont="1" applyFill="1" applyBorder="1" applyAlignment="1" applyProtection="1">
      <alignment horizontal="center" vertical="center"/>
      <protection locked="0"/>
    </xf>
    <xf numFmtId="3" fontId="17" fillId="3" borderId="2" xfId="5" applyNumberFormat="1" applyFont="1" applyFill="1" applyBorder="1" applyAlignment="1" applyProtection="1">
      <alignment horizontal="center" vertical="center"/>
      <protection locked="0"/>
    </xf>
    <xf numFmtId="3" fontId="18" fillId="3" borderId="2" xfId="0" applyNumberFormat="1" applyFont="1" applyFill="1" applyBorder="1" applyAlignment="1" applyProtection="1">
      <alignment horizontal="center" vertical="center"/>
      <protection locked="0"/>
    </xf>
    <xf numFmtId="3" fontId="18" fillId="0" borderId="2" xfId="0" applyNumberFormat="1" applyFont="1" applyFill="1" applyBorder="1" applyAlignment="1" applyProtection="1">
      <alignment horizontal="center" vertical="center"/>
      <protection locked="0"/>
    </xf>
    <xf numFmtId="0" fontId="142" fillId="0" borderId="0" xfId="5" applyFont="1" applyFill="1" applyAlignment="1" applyProtection="1">
      <protection locked="0"/>
    </xf>
    <xf numFmtId="0" fontId="143" fillId="0" borderId="0" xfId="5" applyFont="1" applyFill="1" applyBorder="1" applyAlignment="1" applyProtection="1">
      <protection locked="0"/>
    </xf>
    <xf numFmtId="4" fontId="144" fillId="0" borderId="0" xfId="0" applyNumberFormat="1" applyFont="1" applyFill="1"/>
    <xf numFmtId="0" fontId="141" fillId="3" borderId="4" xfId="5" applyFont="1" applyFill="1" applyBorder="1" applyAlignment="1" applyProtection="1">
      <alignment horizontal="center" vertical="center" wrapText="1"/>
    </xf>
    <xf numFmtId="49" fontId="128" fillId="58" borderId="2" xfId="5" applyNumberFormat="1" applyFont="1" applyFill="1" applyBorder="1" applyAlignment="1" applyProtection="1">
      <alignment horizontal="center" vertical="center" wrapText="1"/>
    </xf>
    <xf numFmtId="3" fontId="145" fillId="8" borderId="2" xfId="0" applyNumberFormat="1" applyFont="1" applyFill="1" applyBorder="1" applyAlignment="1" applyProtection="1">
      <alignment horizontal="center" vertical="center"/>
      <protection locked="0"/>
    </xf>
    <xf numFmtId="0" fontId="141" fillId="3" borderId="2" xfId="5" applyFont="1" applyFill="1" applyBorder="1" applyAlignment="1" applyProtection="1">
      <alignment horizontal="left" vertical="center" wrapText="1"/>
    </xf>
    <xf numFmtId="0" fontId="141" fillId="3" borderId="2" xfId="5" applyFont="1" applyFill="1" applyBorder="1" applyAlignment="1" applyProtection="1">
      <alignment horizontal="center" vertical="center" wrapText="1"/>
    </xf>
    <xf numFmtId="3" fontId="141" fillId="56" borderId="2" xfId="0" applyNumberFormat="1" applyFont="1" applyFill="1" applyBorder="1" applyAlignment="1" applyProtection="1">
      <alignment horizontal="center" vertical="center"/>
      <protection locked="0"/>
    </xf>
    <xf numFmtId="3" fontId="146"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46" fillId="59" borderId="2" xfId="5" applyNumberFormat="1" applyFont="1" applyFill="1" applyBorder="1" applyAlignment="1" applyProtection="1">
      <alignment horizontal="center" vertical="center"/>
      <protection locked="0"/>
    </xf>
    <xf numFmtId="3" fontId="128" fillId="59" borderId="2" xfId="5" applyNumberFormat="1" applyFont="1" applyFill="1" applyBorder="1" applyAlignment="1" applyProtection="1">
      <alignment horizontal="center" vertical="center"/>
      <protection locked="0"/>
    </xf>
    <xf numFmtId="0" fontId="144" fillId="0" borderId="0" xfId="0" applyFont="1" applyFill="1"/>
    <xf numFmtId="0" fontId="147" fillId="0" borderId="0" xfId="0" applyFont="1" applyFill="1"/>
    <xf numFmtId="3" fontId="17" fillId="3" borderId="2" xfId="0" applyNumberFormat="1" applyFont="1" applyFill="1" applyBorder="1" applyAlignment="1" applyProtection="1">
      <alignment horizontal="center" vertical="center" wrapText="1"/>
      <protection locked="0"/>
    </xf>
    <xf numFmtId="49" fontId="18" fillId="58" borderId="2" xfId="5"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center" vertical="center" wrapText="1"/>
      <protection locked="0"/>
    </xf>
    <xf numFmtId="3" fontId="20" fillId="3" borderId="2" xfId="0" applyNumberFormat="1" applyFont="1" applyFill="1" applyBorder="1" applyAlignment="1" applyProtection="1">
      <alignment horizontal="center" vertical="center"/>
      <protection locked="0"/>
    </xf>
    <xf numFmtId="3" fontId="87" fillId="0" borderId="0" xfId="5" applyNumberFormat="1" applyFont="1" applyFill="1" applyBorder="1" applyAlignment="1" applyProtection="1">
      <protection locked="0"/>
    </xf>
    <xf numFmtId="0" fontId="90" fillId="3" borderId="2" xfId="0" applyFont="1" applyFill="1" applyBorder="1" applyAlignment="1">
      <alignment horizontal="center" vertical="center" wrapText="1"/>
    </xf>
    <xf numFmtId="0" fontId="90" fillId="3" borderId="2" xfId="0" applyFont="1" applyFill="1" applyBorder="1" applyAlignment="1">
      <alignment horizontal="left" vertical="center" wrapText="1"/>
    </xf>
    <xf numFmtId="0" fontId="90" fillId="0" borderId="2" xfId="0" applyFont="1" applyBorder="1" applyAlignment="1">
      <alignment horizontal="center" vertical="center" wrapText="1"/>
    </xf>
    <xf numFmtId="0" fontId="90" fillId="0" borderId="2" xfId="0" applyFont="1" applyBorder="1" applyAlignment="1">
      <alignment horizontal="left" vertical="center" wrapText="1"/>
    </xf>
    <xf numFmtId="0" fontId="94" fillId="3" borderId="2" xfId="0" applyFont="1" applyFill="1" applyBorder="1" applyAlignment="1">
      <alignment horizontal="center" vertical="center" wrapText="1"/>
    </xf>
    <xf numFmtId="0" fontId="94" fillId="3" borderId="2" xfId="0" applyFont="1" applyFill="1" applyBorder="1" applyAlignment="1">
      <alignment horizontal="left" vertical="center" wrapText="1"/>
    </xf>
    <xf numFmtId="3" fontId="90" fillId="3" borderId="2" xfId="0" applyNumberFormat="1" applyFont="1" applyFill="1" applyBorder="1" applyAlignment="1">
      <alignment horizontal="left" vertical="center" wrapText="1"/>
    </xf>
    <xf numFmtId="0" fontId="95" fillId="0" borderId="2" xfId="0" applyFont="1" applyBorder="1"/>
    <xf numFmtId="0" fontId="95" fillId="0" borderId="2" xfId="0" applyFont="1" applyBorder="1" applyAlignment="1">
      <alignment vertical="center" wrapText="1"/>
    </xf>
    <xf numFmtId="3" fontId="95" fillId="0" borderId="2" xfId="0" applyNumberFormat="1" applyFont="1" applyBorder="1"/>
    <xf numFmtId="0" fontId="0" fillId="0" borderId="2" xfId="0" applyBorder="1" applyAlignment="1">
      <alignment wrapText="1"/>
    </xf>
    <xf numFmtId="3" fontId="148" fillId="0" borderId="2" xfId="0" applyNumberFormat="1" applyFont="1" applyBorder="1"/>
    <xf numFmtId="0" fontId="149" fillId="0" borderId="0" xfId="0" applyFont="1"/>
    <xf numFmtId="0" fontId="30" fillId="3" borderId="2" xfId="5" applyFont="1" applyFill="1" applyBorder="1" applyAlignment="1" applyProtection="1">
      <alignment vertical="center" wrapText="1"/>
    </xf>
    <xf numFmtId="3" fontId="35" fillId="0" borderId="2" xfId="0" applyNumberFormat="1" applyFont="1" applyFill="1" applyBorder="1"/>
    <xf numFmtId="0" fontId="30" fillId="3" borderId="2" xfId="5" applyFont="1" applyFill="1" applyBorder="1" applyAlignment="1" applyProtection="1">
      <alignment horizontal="center" vertical="center" wrapText="1"/>
    </xf>
    <xf numFmtId="0" fontId="36" fillId="0" borderId="29" xfId="0" applyFont="1" applyBorder="1" applyAlignment="1">
      <alignment horizontal="center" vertical="center"/>
    </xf>
    <xf numFmtId="0" fontId="150" fillId="0" borderId="2" xfId="0" applyFont="1" applyBorder="1"/>
    <xf numFmtId="0" fontId="149" fillId="0" borderId="2" xfId="0" applyFont="1" applyBorder="1"/>
    <xf numFmtId="0" fontId="30" fillId="7" borderId="2" xfId="5" applyFont="1" applyFill="1" applyBorder="1" applyAlignment="1" applyProtection="1">
      <alignment horizontal="center" vertical="center" wrapText="1"/>
    </xf>
    <xf numFmtId="0" fontId="30" fillId="63" borderId="2" xfId="5" applyFont="1" applyFill="1" applyBorder="1" applyAlignment="1" applyProtection="1">
      <alignment horizontal="center" vertical="center" wrapText="1"/>
    </xf>
    <xf numFmtId="0" fontId="30" fillId="64" borderId="2" xfId="5" applyFont="1" applyFill="1" applyBorder="1" applyAlignment="1" applyProtection="1">
      <alignment horizontal="center" vertical="center" wrapText="1"/>
    </xf>
    <xf numFmtId="171" fontId="130" fillId="0" borderId="2" xfId="331" applyNumberFormat="1" applyFont="1" applyFill="1" applyBorder="1"/>
    <xf numFmtId="43" fontId="130" fillId="0" borderId="2" xfId="331" applyFont="1" applyFill="1" applyBorder="1"/>
    <xf numFmtId="0" fontId="36" fillId="0" borderId="2" xfId="0" applyFont="1" applyBorder="1"/>
    <xf numFmtId="3" fontId="36" fillId="0" borderId="2" xfId="0" applyNumberFormat="1" applyFont="1" applyBorder="1"/>
    <xf numFmtId="3" fontId="36" fillId="0" borderId="2" xfId="0" applyNumberFormat="1" applyFont="1" applyFill="1" applyBorder="1"/>
    <xf numFmtId="0" fontId="36" fillId="0" borderId="2" xfId="0" applyFont="1" applyBorder="1" applyAlignment="1">
      <alignment horizontal="center" vertical="center"/>
    </xf>
    <xf numFmtId="3" fontId="35" fillId="0" borderId="0" xfId="0" applyNumberFormat="1" applyFont="1" applyFill="1" applyBorder="1"/>
    <xf numFmtId="3" fontId="17" fillId="3" borderId="2" xfId="5" applyNumberFormat="1" applyFont="1" applyFill="1" applyBorder="1" applyAlignment="1" applyProtection="1">
      <alignment horizontal="center" vertical="center" wrapText="1"/>
      <protection locked="0"/>
    </xf>
    <xf numFmtId="3" fontId="17" fillId="0" borderId="2" xfId="0" applyNumberFormat="1" applyFont="1" applyFill="1" applyBorder="1" applyAlignment="1" applyProtection="1">
      <alignment horizontal="left" vertical="center" wrapText="1"/>
      <protection locked="0"/>
    </xf>
    <xf numFmtId="0" fontId="38" fillId="0" borderId="2" xfId="0" applyNumberFormat="1" applyFont="1" applyFill="1" applyBorder="1" applyAlignment="1" applyProtection="1">
      <alignment horizontal="left" vertical="center" wrapText="1"/>
      <protection locked="0"/>
    </xf>
    <xf numFmtId="0" fontId="80" fillId="0" borderId="0" xfId="0" applyFont="1" applyFill="1"/>
    <xf numFmtId="0" fontId="153" fillId="0" borderId="0" xfId="0" applyFont="1" applyFill="1" applyAlignment="1"/>
    <xf numFmtId="0" fontId="153" fillId="0" borderId="42" xfId="0" applyFont="1" applyFill="1" applyBorder="1" applyAlignment="1"/>
    <xf numFmtId="0" fontId="154" fillId="0" borderId="0" xfId="5" applyFont="1" applyBorder="1" applyAlignment="1" applyProtection="1">
      <protection locked="0"/>
    </xf>
    <xf numFmtId="0" fontId="154" fillId="0" borderId="0" xfId="5" applyFont="1" applyFill="1" applyBorder="1" applyAlignment="1" applyProtection="1">
      <protection locked="0"/>
    </xf>
    <xf numFmtId="0" fontId="155" fillId="0" borderId="0" xfId="5" applyFont="1" applyFill="1" applyBorder="1" applyAlignment="1" applyProtection="1">
      <protection locked="0"/>
    </xf>
    <xf numFmtId="0" fontId="156" fillId="0" borderId="0" xfId="0" applyFont="1" applyFill="1" applyAlignment="1"/>
    <xf numFmtId="0" fontId="154" fillId="0" borderId="0" xfId="5" applyFont="1" applyBorder="1" applyAlignment="1" applyProtection="1">
      <alignment horizontal="center"/>
      <protection locked="0"/>
    </xf>
    <xf numFmtId="0" fontId="157" fillId="0" borderId="0" xfId="5" applyFont="1" applyBorder="1" applyAlignment="1" applyProtection="1">
      <protection locked="0"/>
    </xf>
    <xf numFmtId="49" fontId="86" fillId="0" borderId="0" xfId="5" applyNumberFormat="1" applyFont="1" applyAlignment="1" applyProtection="1">
      <protection locked="0"/>
    </xf>
    <xf numFmtId="49" fontId="127" fillId="0" borderId="0" xfId="5" applyNumberFormat="1" applyFont="1" applyAlignment="1" applyProtection="1">
      <protection locked="0"/>
    </xf>
    <xf numFmtId="49" fontId="87" fillId="0" borderId="0" xfId="5" applyNumberFormat="1" applyFont="1" applyBorder="1" applyAlignment="1" applyProtection="1">
      <protection locked="0"/>
    </xf>
    <xf numFmtId="49" fontId="87" fillId="0" borderId="0" xfId="5" applyNumberFormat="1" applyFont="1" applyFill="1" applyBorder="1" applyAlignment="1" applyProtection="1">
      <protection locked="0"/>
    </xf>
    <xf numFmtId="49" fontId="74" fillId="0" borderId="0" xfId="0" applyNumberFormat="1" applyFont="1"/>
    <xf numFmtId="49" fontId="18" fillId="3" borderId="3" xfId="5" applyNumberFormat="1" applyFont="1" applyFill="1" applyBorder="1" applyAlignment="1" applyProtection="1">
      <alignment horizontal="left" vertical="center" wrapText="1"/>
    </xf>
    <xf numFmtId="49" fontId="85" fillId="0" borderId="2" xfId="0" applyNumberFormat="1" applyFont="1" applyBorder="1" applyProtection="1"/>
    <xf numFmtId="49" fontId="76" fillId="3" borderId="2" xfId="5" applyNumberFormat="1" applyFont="1" applyFill="1" applyBorder="1" applyAlignment="1" applyProtection="1">
      <alignment horizontal="left" vertical="center" wrapText="1"/>
    </xf>
    <xf numFmtId="49" fontId="75" fillId="0" borderId="2" xfId="0" applyNumberFormat="1" applyFont="1" applyBorder="1" applyProtection="1"/>
    <xf numFmtId="49" fontId="20" fillId="56" borderId="28" xfId="5" applyNumberFormat="1" applyFont="1" applyFill="1" applyBorder="1" applyAlignment="1" applyProtection="1">
      <alignment vertical="center" wrapText="1"/>
      <protection locked="0"/>
    </xf>
    <xf numFmtId="49" fontId="17" fillId="0" borderId="1" xfId="5" applyNumberFormat="1" applyFont="1" applyFill="1" applyBorder="1" applyAlignment="1" applyProtection="1">
      <alignment horizontal="left" vertical="center" wrapText="1"/>
      <protection locked="0"/>
    </xf>
    <xf numFmtId="49" fontId="17" fillId="0" borderId="2" xfId="5" applyNumberFormat="1" applyFont="1" applyFill="1" applyBorder="1" applyAlignment="1" applyProtection="1">
      <alignment horizontal="left" vertical="center" wrapText="1"/>
      <protection locked="0"/>
    </xf>
    <xf numFmtId="49" fontId="74" fillId="0" borderId="0" xfId="0" applyNumberFormat="1" applyFont="1" applyFill="1"/>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0" fontId="18" fillId="3" borderId="32" xfId="5" applyFont="1" applyFill="1" applyBorder="1" applyAlignment="1" applyProtection="1">
      <alignment horizontal="center" vertical="center" wrapText="1"/>
    </xf>
    <xf numFmtId="0" fontId="20" fillId="5" borderId="46" xfId="5" applyFont="1" applyFill="1" applyBorder="1" applyAlignment="1" applyProtection="1">
      <alignment horizontal="center" vertical="center" wrapText="1"/>
    </xf>
    <xf numFmtId="0" fontId="18" fillId="3" borderId="47" xfId="5" applyFont="1" applyFill="1" applyBorder="1" applyAlignment="1" applyProtection="1">
      <alignment horizontal="center" vertical="center" wrapText="1"/>
    </xf>
    <xf numFmtId="0" fontId="20" fillId="58" borderId="36" xfId="5" applyFont="1" applyFill="1" applyBorder="1" applyAlignment="1" applyProtection="1">
      <alignment horizontal="center" vertical="center" wrapText="1"/>
    </xf>
    <xf numFmtId="3" fontId="20" fillId="0" borderId="36" xfId="0" applyNumberFormat="1" applyFont="1" applyFill="1" applyBorder="1" applyAlignment="1" applyProtection="1">
      <alignment horizontal="center" vertical="center"/>
      <protection locked="0"/>
    </xf>
    <xf numFmtId="3" fontId="76" fillId="3" borderId="36" xfId="5" applyNumberFormat="1" applyFont="1" applyFill="1" applyBorder="1" applyAlignment="1" applyProtection="1">
      <alignment horizontal="center" vertical="center" wrapText="1"/>
    </xf>
    <xf numFmtId="3" fontId="20" fillId="0" borderId="36" xfId="0" applyNumberFormat="1" applyFont="1" applyBorder="1" applyAlignment="1" applyProtection="1">
      <alignment horizontal="center" vertical="center"/>
      <protection locked="0"/>
    </xf>
    <xf numFmtId="3" fontId="18" fillId="56" borderId="36" xfId="0" applyNumberFormat="1" applyFont="1" applyFill="1" applyBorder="1" applyAlignment="1" applyProtection="1">
      <alignment horizontal="center" vertical="center"/>
      <protection locked="0"/>
    </xf>
    <xf numFmtId="3" fontId="17" fillId="0" borderId="36" xfId="0" applyNumberFormat="1" applyFont="1" applyFill="1" applyBorder="1" applyAlignment="1" applyProtection="1">
      <alignment horizontal="center" vertical="center"/>
      <protection locked="0"/>
    </xf>
    <xf numFmtId="3" fontId="17" fillId="0" borderId="36" xfId="5" applyNumberFormat="1" applyFont="1" applyFill="1" applyBorder="1" applyAlignment="1" applyProtection="1">
      <alignment horizontal="center" vertical="center"/>
      <protection locked="0"/>
    </xf>
    <xf numFmtId="3" fontId="17" fillId="8" borderId="36" xfId="5" applyNumberFormat="1" applyFont="1" applyFill="1" applyBorder="1" applyAlignment="1" applyProtection="1">
      <alignment horizontal="center" vertical="center"/>
      <protection locked="0"/>
    </xf>
    <xf numFmtId="0" fontId="18" fillId="3" borderId="3" xfId="5" applyFont="1" applyFill="1" applyBorder="1" applyAlignment="1" applyProtection="1">
      <alignment horizontal="center" vertical="center" wrapText="1"/>
    </xf>
    <xf numFmtId="0" fontId="20" fillId="58" borderId="1" xfId="5" applyFont="1" applyFill="1" applyBorder="1" applyAlignment="1" applyProtection="1">
      <alignment horizontal="center" vertical="center" wrapText="1"/>
    </xf>
    <xf numFmtId="3" fontId="20" fillId="0" borderId="1" xfId="0" applyNumberFormat="1" applyFont="1" applyFill="1" applyBorder="1" applyAlignment="1" applyProtection="1">
      <alignment horizontal="center" vertical="center"/>
      <protection locked="0"/>
    </xf>
    <xf numFmtId="3" fontId="76" fillId="3" borderId="1" xfId="5" applyNumberFormat="1" applyFont="1" applyFill="1" applyBorder="1" applyAlignment="1" applyProtection="1">
      <alignment horizontal="center" vertical="center" wrapText="1"/>
    </xf>
    <xf numFmtId="3" fontId="20" fillId="0" borderId="1" xfId="0" applyNumberFormat="1" applyFont="1" applyBorder="1" applyAlignment="1" applyProtection="1">
      <alignment horizontal="center" vertical="center"/>
      <protection locked="0"/>
    </xf>
    <xf numFmtId="3" fontId="18" fillId="56" borderId="1"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horizontal="center" vertical="center"/>
      <protection locked="0"/>
    </xf>
    <xf numFmtId="3" fontId="17" fillId="0" borderId="1" xfId="5" applyNumberFormat="1" applyFont="1" applyFill="1" applyBorder="1" applyAlignment="1" applyProtection="1">
      <alignment horizontal="center" vertical="center"/>
      <protection locked="0"/>
    </xf>
    <xf numFmtId="3" fontId="17" fillId="8" borderId="1" xfId="5" applyNumberFormat="1" applyFont="1" applyFill="1" applyBorder="1" applyAlignment="1" applyProtection="1">
      <alignment horizontal="center" vertical="center"/>
      <protection locked="0"/>
    </xf>
    <xf numFmtId="0" fontId="158" fillId="0" borderId="0" xfId="5" applyFont="1" applyBorder="1" applyAlignment="1" applyProtection="1">
      <alignment horizontal="center"/>
      <protection locked="0"/>
    </xf>
    <xf numFmtId="0" fontId="159" fillId="0" borderId="0" xfId="5" applyFont="1" applyBorder="1" applyAlignment="1" applyProtection="1">
      <alignment horizontal="center"/>
      <protection locked="0"/>
    </xf>
    <xf numFmtId="0" fontId="74" fillId="0" borderId="0" xfId="0" applyFont="1" applyFill="1" applyBorder="1"/>
    <xf numFmtId="0" fontId="122" fillId="0" borderId="0" xfId="0" applyFont="1" applyFill="1" applyBorder="1"/>
    <xf numFmtId="0" fontId="75" fillId="0" borderId="0" xfId="0" applyFont="1" applyFill="1" applyBorder="1"/>
    <xf numFmtId="0" fontId="160" fillId="0" borderId="0" xfId="5" applyFont="1" applyAlignment="1" applyProtection="1">
      <alignment horizontal="center"/>
      <protection locked="0"/>
    </xf>
    <xf numFmtId="0" fontId="161" fillId="0" borderId="0" xfId="0" applyFont="1" applyFill="1"/>
    <xf numFmtId="0" fontId="161" fillId="0" borderId="0" xfId="0" applyFont="1"/>
    <xf numFmtId="3" fontId="163" fillId="0" borderId="48" xfId="458" applyNumberFormat="1" applyFont="1" applyFill="1" applyBorder="1" applyAlignment="1" applyProtection="1">
      <alignment horizontal="center" vertical="center"/>
      <protection locked="0"/>
    </xf>
    <xf numFmtId="3" fontId="163" fillId="0" borderId="49" xfId="458" applyNumberFormat="1" applyFont="1" applyFill="1" applyBorder="1" applyAlignment="1" applyProtection="1">
      <alignment horizontal="center" vertical="center"/>
      <protection locked="0"/>
    </xf>
    <xf numFmtId="3" fontId="17" fillId="0" borderId="50" xfId="5" applyNumberFormat="1" applyFont="1" applyFill="1" applyBorder="1" applyAlignment="1" applyProtection="1">
      <alignment horizontal="center" vertical="center"/>
      <protection locked="0"/>
    </xf>
    <xf numFmtId="3" fontId="17" fillId="0" borderId="28"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8" borderId="1"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8" borderId="1" xfId="5" applyNumberFormat="1" applyFont="1" applyFill="1" applyBorder="1" applyAlignment="1" applyProtection="1">
      <alignment horizontal="center" vertical="center"/>
      <protection locked="0"/>
    </xf>
    <xf numFmtId="3" fontId="17" fillId="8" borderId="2" xfId="5" applyNumberFormat="1" applyFont="1" applyFill="1" applyBorder="1" applyAlignment="1" applyProtection="1">
      <alignment horizontal="center" vertical="center"/>
      <protection locked="0"/>
    </xf>
    <xf numFmtId="3" fontId="17" fillId="8" borderId="1"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0" borderId="1"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14" fontId="90" fillId="0" borderId="0" xfId="0" applyNumberFormat="1" applyFont="1" applyFill="1" applyAlignment="1">
      <alignment vertical="center"/>
    </xf>
    <xf numFmtId="0" fontId="164" fillId="0" borderId="0" xfId="0" applyFont="1" applyFill="1"/>
    <xf numFmtId="3" fontId="165" fillId="0" borderId="0" xfId="0" applyNumberFormat="1" applyFont="1" applyAlignment="1" applyProtection="1">
      <alignment horizontal="justify" vertical="center" wrapText="1"/>
      <protection locked="0"/>
    </xf>
    <xf numFmtId="3" fontId="166" fillId="0" borderId="0" xfId="0" applyNumberFormat="1" applyFont="1" applyAlignment="1" applyProtection="1">
      <alignment horizontal="center" vertical="center"/>
      <protection locked="0"/>
    </xf>
    <xf numFmtId="3" fontId="167" fillId="0" borderId="0" xfId="0" applyNumberFormat="1" applyFont="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49" fontId="75" fillId="0" borderId="0" xfId="0" applyNumberFormat="1" applyFont="1" applyFill="1"/>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7" fillId="0" borderId="36"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wrapText="1"/>
      <protection locked="0"/>
    </xf>
    <xf numFmtId="3" fontId="17" fillId="0" borderId="36"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7" fillId="0" borderId="36"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7" fillId="0" borderId="36"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7" fillId="0" borderId="36"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8" fillId="56" borderId="2" xfId="0" applyNumberFormat="1" applyFont="1" applyFill="1" applyBorder="1" applyAlignment="1" applyProtection="1">
      <alignment horizontal="center" vertical="center"/>
      <protection locked="0"/>
    </xf>
    <xf numFmtId="3" fontId="90" fillId="8" borderId="2" xfId="15" applyNumberFormat="1" applyFont="1" applyFill="1" applyBorder="1" applyAlignment="1">
      <alignment horizontal="left" vertical="top" wrapText="1"/>
    </xf>
    <xf numFmtId="0" fontId="114" fillId="0" borderId="0" xfId="0" applyFont="1" applyAlignment="1">
      <alignment horizontal="right"/>
    </xf>
    <xf numFmtId="49" fontId="116" fillId="0" borderId="0" xfId="5" applyNumberFormat="1" applyFont="1" applyAlignment="1" applyProtection="1">
      <alignment horizontal="center"/>
      <protection locked="0"/>
    </xf>
    <xf numFmtId="0" fontId="116" fillId="0" borderId="0" xfId="5" applyFont="1" applyAlignment="1" applyProtection="1">
      <alignment horizontal="center"/>
      <protection locked="0"/>
    </xf>
    <xf numFmtId="0" fontId="116" fillId="0" borderId="0" xfId="5" applyFont="1" applyFill="1" applyAlignment="1" applyProtection="1">
      <alignment horizontal="center"/>
      <protection locked="0"/>
    </xf>
    <xf numFmtId="0" fontId="116" fillId="57" borderId="0" xfId="5" applyFont="1" applyFill="1" applyAlignment="1" applyProtection="1">
      <alignment horizontal="center"/>
      <protection locked="0"/>
    </xf>
    <xf numFmtId="0" fontId="18" fillId="5" borderId="2" xfId="5" applyFont="1" applyFill="1" applyBorder="1" applyAlignment="1" applyProtection="1">
      <alignment horizontal="center" vertical="center" wrapText="1"/>
    </xf>
    <xf numFmtId="0" fontId="18" fillId="5" borderId="29" xfId="5" applyFont="1" applyFill="1" applyBorder="1" applyAlignment="1" applyProtection="1">
      <alignment horizontal="center" vertical="center" wrapText="1"/>
    </xf>
    <xf numFmtId="0" fontId="20" fillId="5" borderId="29" xfId="5" applyFont="1" applyFill="1" applyBorder="1" applyAlignment="1" applyProtection="1">
      <alignment horizontal="center" vertical="center" wrapText="1"/>
    </xf>
    <xf numFmtId="0" fontId="20" fillId="0" borderId="0" xfId="0" applyFont="1" applyFill="1" applyAlignment="1">
      <alignment horizontal="left" wrapText="1"/>
    </xf>
    <xf numFmtId="0" fontId="87" fillId="55" borderId="36" xfId="5" applyFont="1" applyFill="1" applyBorder="1" applyAlignment="1" applyProtection="1">
      <alignment horizontal="center" vertical="center"/>
      <protection locked="0"/>
    </xf>
    <xf numFmtId="0" fontId="87" fillId="55" borderId="18" xfId="5" applyFont="1" applyFill="1" applyBorder="1" applyAlignment="1" applyProtection="1">
      <alignment horizontal="center" vertical="center"/>
      <protection locked="0"/>
    </xf>
    <xf numFmtId="0" fontId="87" fillId="55" borderId="19" xfId="5" applyFont="1" applyFill="1" applyBorder="1" applyAlignment="1" applyProtection="1">
      <alignment horizontal="center" vertical="center"/>
      <protection locked="0"/>
    </xf>
    <xf numFmtId="0" fontId="164" fillId="0" borderId="0" xfId="0" applyFont="1" applyFill="1" applyAlignment="1">
      <alignment horizontal="center"/>
    </xf>
    <xf numFmtId="0" fontId="164" fillId="0" borderId="0" xfId="0" applyFont="1" applyFill="1" applyAlignment="1">
      <alignment horizontal="left" vertical="top"/>
    </xf>
    <xf numFmtId="49" fontId="75" fillId="0" borderId="0" xfId="0" applyNumberFormat="1" applyFont="1" applyFill="1" applyAlignment="1">
      <alignment horizontal="left" wrapText="1"/>
    </xf>
    <xf numFmtId="0" fontId="20" fillId="56" borderId="28" xfId="5" applyFont="1" applyFill="1" applyBorder="1" applyAlignment="1" applyProtection="1">
      <alignment horizontal="left" vertical="center" wrapText="1"/>
      <protection locked="0"/>
    </xf>
    <xf numFmtId="0" fontId="20" fillId="56" borderId="18" xfId="5" applyFont="1" applyFill="1" applyBorder="1" applyAlignment="1" applyProtection="1">
      <alignment horizontal="left" vertical="center" wrapText="1"/>
      <protection locked="0"/>
    </xf>
    <xf numFmtId="0" fontId="20" fillId="56" borderId="19" xfId="5" applyFont="1" applyFill="1" applyBorder="1" applyAlignment="1" applyProtection="1">
      <alignment horizontal="left" vertical="center" wrapText="1"/>
      <protection locked="0"/>
    </xf>
    <xf numFmtId="0" fontId="18" fillId="5" borderId="32" xfId="5" applyFont="1" applyFill="1" applyBorder="1" applyAlignment="1" applyProtection="1">
      <alignment horizontal="center" vertical="center" wrapText="1"/>
    </xf>
    <xf numFmtId="0" fontId="18" fillId="5" borderId="31" xfId="5" applyFont="1" applyFill="1" applyBorder="1" applyAlignment="1" applyProtection="1">
      <alignment horizontal="center" vertical="center" wrapText="1"/>
    </xf>
    <xf numFmtId="3" fontId="129" fillId="0" borderId="23" xfId="0" applyNumberFormat="1" applyFont="1" applyFill="1" applyBorder="1" applyAlignment="1">
      <alignment horizontal="center" vertical="center" wrapText="1"/>
    </xf>
    <xf numFmtId="3" fontId="129" fillId="0" borderId="2" xfId="0" applyNumberFormat="1" applyFont="1" applyFill="1" applyBorder="1" applyAlignment="1">
      <alignment horizontal="center" vertical="center" wrapText="1"/>
    </xf>
    <xf numFmtId="3" fontId="129" fillId="0" borderId="24" xfId="0" applyNumberFormat="1" applyFont="1" applyFill="1" applyBorder="1" applyAlignment="1">
      <alignment horizontal="center" vertical="center" wrapText="1"/>
    </xf>
    <xf numFmtId="3" fontId="129" fillId="0" borderId="36" xfId="0" applyNumberFormat="1" applyFont="1" applyFill="1" applyBorder="1" applyAlignment="1">
      <alignment horizontal="center" vertical="center" wrapText="1"/>
    </xf>
    <xf numFmtId="3" fontId="129" fillId="0" borderId="18" xfId="0" applyNumberFormat="1" applyFont="1" applyFill="1" applyBorder="1" applyAlignment="1">
      <alignment horizontal="center" vertical="center" wrapText="1"/>
    </xf>
    <xf numFmtId="3" fontId="129" fillId="0" borderId="35" xfId="0" applyNumberFormat="1" applyFont="1" applyFill="1" applyBorder="1" applyAlignment="1">
      <alignment horizontal="center" vertical="center" wrapText="1"/>
    </xf>
    <xf numFmtId="3" fontId="129" fillId="0" borderId="19" xfId="0" applyNumberFormat="1" applyFont="1" applyFill="1" applyBorder="1" applyAlignment="1">
      <alignment horizontal="center" vertical="center" wrapText="1"/>
    </xf>
    <xf numFmtId="0" fontId="94" fillId="0" borderId="0" xfId="0" applyFont="1" applyBorder="1" applyAlignment="1">
      <alignment horizontal="center" vertical="center" wrapText="1"/>
    </xf>
    <xf numFmtId="0" fontId="36" fillId="65" borderId="36" xfId="0" applyFont="1" applyFill="1" applyBorder="1" applyAlignment="1">
      <alignment horizontal="center" vertical="center"/>
    </xf>
    <xf numFmtId="0" fontId="36" fillId="65" borderId="18" xfId="0" applyFont="1" applyFill="1" applyBorder="1" applyAlignment="1">
      <alignment horizontal="center" vertical="center"/>
    </xf>
    <xf numFmtId="0" fontId="36" fillId="65" borderId="19" xfId="0" applyFont="1" applyFill="1" applyBorder="1" applyAlignment="1">
      <alignment horizontal="center" vertical="center"/>
    </xf>
    <xf numFmtId="0" fontId="36" fillId="0" borderId="29" xfId="0" applyFont="1" applyBorder="1" applyAlignment="1">
      <alignment horizontal="center" vertical="center"/>
    </xf>
    <xf numFmtId="0" fontId="36" fillId="0" borderId="32" xfId="0" applyFont="1" applyBorder="1" applyAlignment="1">
      <alignment horizontal="center" vertical="center"/>
    </xf>
    <xf numFmtId="0" fontId="36" fillId="0" borderId="31" xfId="0" applyFont="1" applyBorder="1" applyAlignment="1">
      <alignment horizontal="center" vertical="center"/>
    </xf>
    <xf numFmtId="0" fontId="36" fillId="65" borderId="45" xfId="0" applyFont="1" applyFill="1" applyBorder="1" applyAlignment="1">
      <alignment horizontal="center" vertical="center"/>
    </xf>
    <xf numFmtId="0" fontId="36" fillId="65" borderId="0" xfId="0" applyFont="1" applyFill="1" applyBorder="1" applyAlignment="1">
      <alignment horizontal="center" vertical="center"/>
    </xf>
    <xf numFmtId="0" fontId="104" fillId="0" borderId="0" xfId="0" applyFont="1" applyAlignment="1">
      <alignment horizontal="center" vertical="center" wrapText="1"/>
    </xf>
  </cellXfs>
  <cellStyles count="963">
    <cellStyle name="20% - Accent1 2" xfId="29"/>
    <cellStyle name="20% - Accent2 2" xfId="30"/>
    <cellStyle name="20% - Accent3 2" xfId="31"/>
    <cellStyle name="20% - Accent4 2" xfId="32"/>
    <cellStyle name="20% - Accent5 2" xfId="33"/>
    <cellStyle name="20% - Accent6 2" xfId="34"/>
    <cellStyle name="40% - Accent1 2" xfId="35"/>
    <cellStyle name="40% - Accent2 2" xfId="36"/>
    <cellStyle name="40% - Accent3 2" xfId="37"/>
    <cellStyle name="40% - Accent4 2" xfId="38"/>
    <cellStyle name="40% - Accent5 2" xfId="39"/>
    <cellStyle name="40% - Accent6 2" xfId="40"/>
    <cellStyle name="60% - Accent1 2" xfId="41"/>
    <cellStyle name="60% - Accent2 2" xfId="42"/>
    <cellStyle name="60% - Accent3 2" xfId="43"/>
    <cellStyle name="60% - Accent4 2" xfId="44"/>
    <cellStyle name="60% - Accent5 2" xfId="45"/>
    <cellStyle name="60% - Accent6 2" xfId="46"/>
    <cellStyle name="Accent1 - 20%" xfId="47"/>
    <cellStyle name="Accent1 - 40%" xfId="48"/>
    <cellStyle name="Accent1 - 60%" xfId="49"/>
    <cellStyle name="Accent2 - 20%" xfId="50"/>
    <cellStyle name="Accent2 - 40%" xfId="51"/>
    <cellStyle name="Accent2 - 60%" xfId="52"/>
    <cellStyle name="Accent3 - 20%" xfId="53"/>
    <cellStyle name="Accent3 - 40%" xfId="54"/>
    <cellStyle name="Accent3 - 60%" xfId="55"/>
    <cellStyle name="Accent4 - 20%" xfId="56"/>
    <cellStyle name="Accent4 - 40%" xfId="57"/>
    <cellStyle name="Accent4 - 60%" xfId="58"/>
    <cellStyle name="Accent5 - 20%" xfId="59"/>
    <cellStyle name="Accent5 - 40%" xfId="60"/>
    <cellStyle name="Accent5 - 60%" xfId="61"/>
    <cellStyle name="Accent6 - 20%" xfId="62"/>
    <cellStyle name="Accent6 - 40%" xfId="63"/>
    <cellStyle name="Accent6 - 60%" xfId="64"/>
    <cellStyle name="Aktivitāte" xfId="13"/>
    <cellStyle name="Bad 2" xfId="65"/>
    <cellStyle name="Check Cell 2" xfId="66"/>
    <cellStyle name="Comma" xfId="331" builtinId="3"/>
    <cellStyle name="Comma 2" xfId="67"/>
    <cellStyle name="Comma 2 2" xfId="248"/>
    <cellStyle name="Comma 3" xfId="68"/>
    <cellStyle name="Comma 3 10" xfId="461"/>
    <cellStyle name="Comma 3 11" xfId="713"/>
    <cellStyle name="Comma 3 2" xfId="212"/>
    <cellStyle name="Comma 3 2 2" xfId="256"/>
    <cellStyle name="Comma 3 2 2 2" xfId="383"/>
    <cellStyle name="Comma 3 2 2 2 2" xfId="636"/>
    <cellStyle name="Comma 3 2 2 2 3" xfId="888"/>
    <cellStyle name="Comma 3 2 2 3" xfId="510"/>
    <cellStyle name="Comma 3 2 2 4" xfId="762"/>
    <cellStyle name="Comma 3 2 3" xfId="298"/>
    <cellStyle name="Comma 3 2 3 2" xfId="425"/>
    <cellStyle name="Comma 3 2 3 2 2" xfId="678"/>
    <cellStyle name="Comma 3 2 3 2 3" xfId="930"/>
    <cellStyle name="Comma 3 2 3 3" xfId="552"/>
    <cellStyle name="Comma 3 2 3 4" xfId="804"/>
    <cellStyle name="Comma 3 2 4" xfId="341"/>
    <cellStyle name="Comma 3 2 4 2" xfId="594"/>
    <cellStyle name="Comma 3 2 4 3" xfId="846"/>
    <cellStyle name="Comma 3 2 5" xfId="468"/>
    <cellStyle name="Comma 3 2 6" xfId="720"/>
    <cellStyle name="Comma 3 3" xfId="217"/>
    <cellStyle name="Comma 3 3 2" xfId="261"/>
    <cellStyle name="Comma 3 3 2 2" xfId="388"/>
    <cellStyle name="Comma 3 3 2 2 2" xfId="641"/>
    <cellStyle name="Comma 3 3 2 2 3" xfId="893"/>
    <cellStyle name="Comma 3 3 2 3" xfId="515"/>
    <cellStyle name="Comma 3 3 2 4" xfId="767"/>
    <cellStyle name="Comma 3 3 3" xfId="303"/>
    <cellStyle name="Comma 3 3 3 2" xfId="430"/>
    <cellStyle name="Comma 3 3 3 2 2" xfId="683"/>
    <cellStyle name="Comma 3 3 3 2 3" xfId="935"/>
    <cellStyle name="Comma 3 3 3 3" xfId="557"/>
    <cellStyle name="Comma 3 3 3 4" xfId="809"/>
    <cellStyle name="Comma 3 3 4" xfId="346"/>
    <cellStyle name="Comma 3 3 4 2" xfId="599"/>
    <cellStyle name="Comma 3 3 4 3" xfId="851"/>
    <cellStyle name="Comma 3 3 5" xfId="473"/>
    <cellStyle name="Comma 3 3 6" xfId="725"/>
    <cellStyle name="Comma 3 4" xfId="226"/>
    <cellStyle name="Comma 3 4 2" xfId="270"/>
    <cellStyle name="Comma 3 4 2 2" xfId="397"/>
    <cellStyle name="Comma 3 4 2 2 2" xfId="650"/>
    <cellStyle name="Comma 3 4 2 2 3" xfId="902"/>
    <cellStyle name="Comma 3 4 2 3" xfId="524"/>
    <cellStyle name="Comma 3 4 2 4" xfId="776"/>
    <cellStyle name="Comma 3 4 3" xfId="312"/>
    <cellStyle name="Comma 3 4 3 2" xfId="439"/>
    <cellStyle name="Comma 3 4 3 2 2" xfId="692"/>
    <cellStyle name="Comma 3 4 3 2 3" xfId="944"/>
    <cellStyle name="Comma 3 4 3 3" xfId="566"/>
    <cellStyle name="Comma 3 4 3 4" xfId="818"/>
    <cellStyle name="Comma 3 4 4" xfId="355"/>
    <cellStyle name="Comma 3 4 4 2" xfId="608"/>
    <cellStyle name="Comma 3 4 4 3" xfId="860"/>
    <cellStyle name="Comma 3 4 5" xfId="482"/>
    <cellStyle name="Comma 3 4 6" xfId="734"/>
    <cellStyle name="Comma 3 5" xfId="233"/>
    <cellStyle name="Comma 3 5 2" xfId="277"/>
    <cellStyle name="Comma 3 5 2 2" xfId="404"/>
    <cellStyle name="Comma 3 5 2 2 2" xfId="657"/>
    <cellStyle name="Comma 3 5 2 2 3" xfId="909"/>
    <cellStyle name="Comma 3 5 2 3" xfId="531"/>
    <cellStyle name="Comma 3 5 2 4" xfId="783"/>
    <cellStyle name="Comma 3 5 3" xfId="319"/>
    <cellStyle name="Comma 3 5 3 2" xfId="446"/>
    <cellStyle name="Comma 3 5 3 2 2" xfId="699"/>
    <cellStyle name="Comma 3 5 3 2 3" xfId="951"/>
    <cellStyle name="Comma 3 5 3 3" xfId="573"/>
    <cellStyle name="Comma 3 5 3 4" xfId="825"/>
    <cellStyle name="Comma 3 5 4" xfId="362"/>
    <cellStyle name="Comma 3 5 4 2" xfId="615"/>
    <cellStyle name="Comma 3 5 4 3" xfId="867"/>
    <cellStyle name="Comma 3 5 5" xfId="489"/>
    <cellStyle name="Comma 3 5 6" xfId="741"/>
    <cellStyle name="Comma 3 6" xfId="240"/>
    <cellStyle name="Comma 3 6 2" xfId="284"/>
    <cellStyle name="Comma 3 6 2 2" xfId="411"/>
    <cellStyle name="Comma 3 6 2 2 2" xfId="664"/>
    <cellStyle name="Comma 3 6 2 2 3" xfId="916"/>
    <cellStyle name="Comma 3 6 2 3" xfId="538"/>
    <cellStyle name="Comma 3 6 2 4" xfId="790"/>
    <cellStyle name="Comma 3 6 3" xfId="326"/>
    <cellStyle name="Comma 3 6 3 2" xfId="453"/>
    <cellStyle name="Comma 3 6 3 2 2" xfId="706"/>
    <cellStyle name="Comma 3 6 3 2 3" xfId="958"/>
    <cellStyle name="Comma 3 6 3 3" xfId="580"/>
    <cellStyle name="Comma 3 6 3 4" xfId="832"/>
    <cellStyle name="Comma 3 6 4" xfId="369"/>
    <cellStyle name="Comma 3 6 4 2" xfId="622"/>
    <cellStyle name="Comma 3 6 4 3" xfId="874"/>
    <cellStyle name="Comma 3 6 5" xfId="496"/>
    <cellStyle name="Comma 3 6 6" xfId="748"/>
    <cellStyle name="Comma 3 7" xfId="249"/>
    <cellStyle name="Comma 3 7 2" xfId="376"/>
    <cellStyle name="Comma 3 7 2 2" xfId="629"/>
    <cellStyle name="Comma 3 7 2 3" xfId="881"/>
    <cellStyle name="Comma 3 7 3" xfId="503"/>
    <cellStyle name="Comma 3 7 4" xfId="755"/>
    <cellStyle name="Comma 3 8" xfId="291"/>
    <cellStyle name="Comma 3 8 2" xfId="418"/>
    <cellStyle name="Comma 3 8 2 2" xfId="671"/>
    <cellStyle name="Comma 3 8 2 3" xfId="923"/>
    <cellStyle name="Comma 3 8 3" xfId="545"/>
    <cellStyle name="Comma 3 8 4" xfId="797"/>
    <cellStyle name="Comma 3 9" xfId="334"/>
    <cellStyle name="Comma 3 9 2" xfId="587"/>
    <cellStyle name="Comma 3 9 3" xfId="839"/>
    <cellStyle name="Emphasis 1" xfId="69"/>
    <cellStyle name="Emphasis 2" xfId="70"/>
    <cellStyle name="Emphasis 3" xfId="71"/>
    <cellStyle name="exo" xfId="72"/>
    <cellStyle name="Explanatory Text 2" xfId="73"/>
    <cellStyle name="Good 2" xfId="74"/>
    <cellStyle name="Heading 1 2" xfId="75"/>
    <cellStyle name="Heading 2 2" xfId="76"/>
    <cellStyle name="Heading 3 2" xfId="77"/>
    <cellStyle name="Heading 4 2" xfId="78"/>
    <cellStyle name="Hyperlink" xfId="245" builtinId="8"/>
    <cellStyle name="Koefic." xfId="79"/>
    <cellStyle name="Linked Cell 2" xfId="80"/>
    <cellStyle name="Normal" xfId="0" builtinId="0"/>
    <cellStyle name="Normal 10" xfId="1"/>
    <cellStyle name="Normal 10 2" xfId="19"/>
    <cellStyle name="Normal 11" xfId="81"/>
    <cellStyle name="Normal 12" xfId="2"/>
    <cellStyle name="Normal 12 2" xfId="20"/>
    <cellStyle name="Normal 13" xfId="16"/>
    <cellStyle name="Normal 13 10" xfId="459"/>
    <cellStyle name="Normal 13 11" xfId="711"/>
    <cellStyle name="Normal 13 2" xfId="210"/>
    <cellStyle name="Normal 13 2 2" xfId="254"/>
    <cellStyle name="Normal 13 2 2 2" xfId="381"/>
    <cellStyle name="Normal 13 2 2 2 2" xfId="634"/>
    <cellStyle name="Normal 13 2 2 2 3" xfId="886"/>
    <cellStyle name="Normal 13 2 2 3" xfId="508"/>
    <cellStyle name="Normal 13 2 2 4" xfId="760"/>
    <cellStyle name="Normal 13 2 3" xfId="296"/>
    <cellStyle name="Normal 13 2 3 2" xfId="423"/>
    <cellStyle name="Normal 13 2 3 2 2" xfId="676"/>
    <cellStyle name="Normal 13 2 3 2 3" xfId="928"/>
    <cellStyle name="Normal 13 2 3 3" xfId="550"/>
    <cellStyle name="Normal 13 2 3 4" xfId="802"/>
    <cellStyle name="Normal 13 2 4" xfId="339"/>
    <cellStyle name="Normal 13 2 4 2" xfId="592"/>
    <cellStyle name="Normal 13 2 4 3" xfId="844"/>
    <cellStyle name="Normal 13 2 5" xfId="466"/>
    <cellStyle name="Normal 13 2 6" xfId="718"/>
    <cellStyle name="Normal 13 3" xfId="218"/>
    <cellStyle name="Normal 13 3 2" xfId="262"/>
    <cellStyle name="Normal 13 3 2 2" xfId="389"/>
    <cellStyle name="Normal 13 3 2 2 2" xfId="642"/>
    <cellStyle name="Normal 13 3 2 2 3" xfId="894"/>
    <cellStyle name="Normal 13 3 2 3" xfId="516"/>
    <cellStyle name="Normal 13 3 2 4" xfId="768"/>
    <cellStyle name="Normal 13 3 3" xfId="304"/>
    <cellStyle name="Normal 13 3 3 2" xfId="431"/>
    <cellStyle name="Normal 13 3 3 2 2" xfId="684"/>
    <cellStyle name="Normal 13 3 3 2 3" xfId="936"/>
    <cellStyle name="Normal 13 3 3 3" xfId="558"/>
    <cellStyle name="Normal 13 3 3 4" xfId="810"/>
    <cellStyle name="Normal 13 3 4" xfId="347"/>
    <cellStyle name="Normal 13 3 4 2" xfId="600"/>
    <cellStyle name="Normal 13 3 4 3" xfId="852"/>
    <cellStyle name="Normal 13 3 5" xfId="474"/>
    <cellStyle name="Normal 13 3 6" xfId="726"/>
    <cellStyle name="Normal 13 4" xfId="224"/>
    <cellStyle name="Normal 13 4 2" xfId="268"/>
    <cellStyle name="Normal 13 4 2 2" xfId="395"/>
    <cellStyle name="Normal 13 4 2 2 2" xfId="648"/>
    <cellStyle name="Normal 13 4 2 2 3" xfId="900"/>
    <cellStyle name="Normal 13 4 2 3" xfId="522"/>
    <cellStyle name="Normal 13 4 2 4" xfId="774"/>
    <cellStyle name="Normal 13 4 3" xfId="310"/>
    <cellStyle name="Normal 13 4 3 2" xfId="437"/>
    <cellStyle name="Normal 13 4 3 2 2" xfId="690"/>
    <cellStyle name="Normal 13 4 3 2 3" xfId="942"/>
    <cellStyle name="Normal 13 4 3 3" xfId="564"/>
    <cellStyle name="Normal 13 4 3 4" xfId="816"/>
    <cellStyle name="Normal 13 4 4" xfId="353"/>
    <cellStyle name="Normal 13 4 4 2" xfId="606"/>
    <cellStyle name="Normal 13 4 4 3" xfId="858"/>
    <cellStyle name="Normal 13 4 5" xfId="480"/>
    <cellStyle name="Normal 13 4 6" xfId="732"/>
    <cellStyle name="Normal 13 5" xfId="231"/>
    <cellStyle name="Normal 13 5 2" xfId="275"/>
    <cellStyle name="Normal 13 5 2 2" xfId="402"/>
    <cellStyle name="Normal 13 5 2 2 2" xfId="655"/>
    <cellStyle name="Normal 13 5 2 2 3" xfId="907"/>
    <cellStyle name="Normal 13 5 2 3" xfId="529"/>
    <cellStyle name="Normal 13 5 2 4" xfId="781"/>
    <cellStyle name="Normal 13 5 3" xfId="317"/>
    <cellStyle name="Normal 13 5 3 2" xfId="444"/>
    <cellStyle name="Normal 13 5 3 2 2" xfId="697"/>
    <cellStyle name="Normal 13 5 3 2 3" xfId="949"/>
    <cellStyle name="Normal 13 5 3 3" xfId="571"/>
    <cellStyle name="Normal 13 5 3 4" xfId="823"/>
    <cellStyle name="Normal 13 5 4" xfId="360"/>
    <cellStyle name="Normal 13 5 4 2" xfId="613"/>
    <cellStyle name="Normal 13 5 4 3" xfId="865"/>
    <cellStyle name="Normal 13 5 5" xfId="487"/>
    <cellStyle name="Normal 13 5 6" xfId="739"/>
    <cellStyle name="Normal 13 6" xfId="238"/>
    <cellStyle name="Normal 13 6 2" xfId="282"/>
    <cellStyle name="Normal 13 6 2 2" xfId="409"/>
    <cellStyle name="Normal 13 6 2 2 2" xfId="662"/>
    <cellStyle name="Normal 13 6 2 2 3" xfId="914"/>
    <cellStyle name="Normal 13 6 2 3" xfId="536"/>
    <cellStyle name="Normal 13 6 2 4" xfId="788"/>
    <cellStyle name="Normal 13 6 3" xfId="324"/>
    <cellStyle name="Normal 13 6 3 2" xfId="451"/>
    <cellStyle name="Normal 13 6 3 2 2" xfId="704"/>
    <cellStyle name="Normal 13 6 3 2 3" xfId="956"/>
    <cellStyle name="Normal 13 6 3 3" xfId="578"/>
    <cellStyle name="Normal 13 6 3 4" xfId="830"/>
    <cellStyle name="Normal 13 6 4" xfId="367"/>
    <cellStyle name="Normal 13 6 4 2" xfId="620"/>
    <cellStyle name="Normal 13 6 4 3" xfId="872"/>
    <cellStyle name="Normal 13 6 5" xfId="494"/>
    <cellStyle name="Normal 13 6 6" xfId="746"/>
    <cellStyle name="Normal 13 7" xfId="246"/>
    <cellStyle name="Normal 13 7 2" xfId="374"/>
    <cellStyle name="Normal 13 7 2 2" xfId="627"/>
    <cellStyle name="Normal 13 7 2 3" xfId="879"/>
    <cellStyle name="Normal 13 7 3" xfId="501"/>
    <cellStyle name="Normal 13 7 4" xfId="753"/>
    <cellStyle name="Normal 13 8" xfId="289"/>
    <cellStyle name="Normal 13 8 2" xfId="416"/>
    <cellStyle name="Normal 13 8 2 2" xfId="669"/>
    <cellStyle name="Normal 13 8 2 3" xfId="921"/>
    <cellStyle name="Normal 13 8 3" xfId="543"/>
    <cellStyle name="Normal 13 8 4" xfId="795"/>
    <cellStyle name="Normal 13 9" xfId="332"/>
    <cellStyle name="Normal 13 9 2" xfId="585"/>
    <cellStyle name="Normal 13 9 3" xfId="837"/>
    <cellStyle name="Normal 14" xfId="3"/>
    <cellStyle name="Normal 14 2" xfId="21"/>
    <cellStyle name="Normal 15" xfId="4"/>
    <cellStyle name="Normal 15 2" xfId="22"/>
    <cellStyle name="Normal 16" xfId="209"/>
    <cellStyle name="Normal 16 10" xfId="465"/>
    <cellStyle name="Normal 16 11" xfId="717"/>
    <cellStyle name="Normal 16 2" xfId="216"/>
    <cellStyle name="Normal 16 2 2" xfId="260"/>
    <cellStyle name="Normal 16 2 2 2" xfId="387"/>
    <cellStyle name="Normal 16 2 2 2 2" xfId="640"/>
    <cellStyle name="Normal 16 2 2 2 3" xfId="892"/>
    <cellStyle name="Normal 16 2 2 3" xfId="514"/>
    <cellStyle name="Normal 16 2 2 4" xfId="766"/>
    <cellStyle name="Normal 16 2 3" xfId="302"/>
    <cellStyle name="Normal 16 2 3 2" xfId="429"/>
    <cellStyle name="Normal 16 2 3 2 2" xfId="682"/>
    <cellStyle name="Normal 16 2 3 2 3" xfId="934"/>
    <cellStyle name="Normal 16 2 3 3" xfId="556"/>
    <cellStyle name="Normal 16 2 3 4" xfId="808"/>
    <cellStyle name="Normal 16 2 4" xfId="345"/>
    <cellStyle name="Normal 16 2 4 2" xfId="598"/>
    <cellStyle name="Normal 16 2 4 3" xfId="850"/>
    <cellStyle name="Normal 16 2 5" xfId="472"/>
    <cellStyle name="Normal 16 2 6" xfId="724"/>
    <cellStyle name="Normal 16 3" xfId="219"/>
    <cellStyle name="Normal 16 3 2" xfId="263"/>
    <cellStyle name="Normal 16 3 2 2" xfId="390"/>
    <cellStyle name="Normal 16 3 2 2 2" xfId="643"/>
    <cellStyle name="Normal 16 3 2 2 3" xfId="895"/>
    <cellStyle name="Normal 16 3 2 3" xfId="517"/>
    <cellStyle name="Normal 16 3 2 4" xfId="769"/>
    <cellStyle name="Normal 16 3 3" xfId="305"/>
    <cellStyle name="Normal 16 3 3 2" xfId="432"/>
    <cellStyle name="Normal 16 3 3 2 2" xfId="685"/>
    <cellStyle name="Normal 16 3 3 2 3" xfId="937"/>
    <cellStyle name="Normal 16 3 3 3" xfId="559"/>
    <cellStyle name="Normal 16 3 3 4" xfId="811"/>
    <cellStyle name="Normal 16 3 4" xfId="348"/>
    <cellStyle name="Normal 16 3 4 2" xfId="601"/>
    <cellStyle name="Normal 16 3 4 3" xfId="853"/>
    <cellStyle name="Normal 16 3 5" xfId="475"/>
    <cellStyle name="Normal 16 3 6" xfId="727"/>
    <cellStyle name="Normal 16 4" xfId="230"/>
    <cellStyle name="Normal 16 4 2" xfId="274"/>
    <cellStyle name="Normal 16 4 2 2" xfId="401"/>
    <cellStyle name="Normal 16 4 2 2 2" xfId="654"/>
    <cellStyle name="Normal 16 4 2 2 3" xfId="906"/>
    <cellStyle name="Normal 16 4 2 3" xfId="528"/>
    <cellStyle name="Normal 16 4 2 4" xfId="780"/>
    <cellStyle name="Normal 16 4 3" xfId="316"/>
    <cellStyle name="Normal 16 4 3 2" xfId="443"/>
    <cellStyle name="Normal 16 4 3 2 2" xfId="696"/>
    <cellStyle name="Normal 16 4 3 2 3" xfId="948"/>
    <cellStyle name="Normal 16 4 3 3" xfId="570"/>
    <cellStyle name="Normal 16 4 3 4" xfId="822"/>
    <cellStyle name="Normal 16 4 4" xfId="359"/>
    <cellStyle name="Normal 16 4 4 2" xfId="612"/>
    <cellStyle name="Normal 16 4 4 3" xfId="864"/>
    <cellStyle name="Normal 16 4 5" xfId="486"/>
    <cellStyle name="Normal 16 4 6" xfId="738"/>
    <cellStyle name="Normal 16 5" xfId="237"/>
    <cellStyle name="Normal 16 5 2" xfId="281"/>
    <cellStyle name="Normal 16 5 2 2" xfId="408"/>
    <cellStyle name="Normal 16 5 2 2 2" xfId="661"/>
    <cellStyle name="Normal 16 5 2 2 3" xfId="913"/>
    <cellStyle name="Normal 16 5 2 3" xfId="535"/>
    <cellStyle name="Normal 16 5 2 4" xfId="787"/>
    <cellStyle name="Normal 16 5 3" xfId="323"/>
    <cellStyle name="Normal 16 5 3 2" xfId="450"/>
    <cellStyle name="Normal 16 5 3 2 2" xfId="703"/>
    <cellStyle name="Normal 16 5 3 2 3" xfId="955"/>
    <cellStyle name="Normal 16 5 3 3" xfId="577"/>
    <cellStyle name="Normal 16 5 3 4" xfId="829"/>
    <cellStyle name="Normal 16 5 4" xfId="366"/>
    <cellStyle name="Normal 16 5 4 2" xfId="619"/>
    <cellStyle name="Normal 16 5 4 3" xfId="871"/>
    <cellStyle name="Normal 16 5 5" xfId="493"/>
    <cellStyle name="Normal 16 5 6" xfId="745"/>
    <cellStyle name="Normal 16 6" xfId="244"/>
    <cellStyle name="Normal 16 6 2" xfId="288"/>
    <cellStyle name="Normal 16 6 2 2" xfId="415"/>
    <cellStyle name="Normal 16 6 2 2 2" xfId="668"/>
    <cellStyle name="Normal 16 6 2 2 3" xfId="920"/>
    <cellStyle name="Normal 16 6 2 3" xfId="542"/>
    <cellStyle name="Normal 16 6 2 4" xfId="794"/>
    <cellStyle name="Normal 16 6 3" xfId="330"/>
    <cellStyle name="Normal 16 6 3 2" xfId="457"/>
    <cellStyle name="Normal 16 6 3 2 2" xfId="710"/>
    <cellStyle name="Normal 16 6 3 2 3" xfId="962"/>
    <cellStyle name="Normal 16 6 3 3" xfId="584"/>
    <cellStyle name="Normal 16 6 3 4" xfId="836"/>
    <cellStyle name="Normal 16 6 4" xfId="373"/>
    <cellStyle name="Normal 16 6 4 2" xfId="626"/>
    <cellStyle name="Normal 16 6 4 3" xfId="878"/>
    <cellStyle name="Normal 16 6 5" xfId="500"/>
    <cellStyle name="Normal 16 6 6" xfId="752"/>
    <cellStyle name="Normal 16 7" xfId="253"/>
    <cellStyle name="Normal 16 7 2" xfId="380"/>
    <cellStyle name="Normal 16 7 2 2" xfId="633"/>
    <cellStyle name="Normal 16 7 2 3" xfId="885"/>
    <cellStyle name="Normal 16 7 3" xfId="507"/>
    <cellStyle name="Normal 16 7 4" xfId="759"/>
    <cellStyle name="Normal 16 8" xfId="295"/>
    <cellStyle name="Normal 16 8 2" xfId="422"/>
    <cellStyle name="Normal 16 8 2 2" xfId="675"/>
    <cellStyle name="Normal 16 8 2 3" xfId="927"/>
    <cellStyle name="Normal 16 8 3" xfId="549"/>
    <cellStyle name="Normal 16 8 4" xfId="801"/>
    <cellStyle name="Normal 16 9" xfId="338"/>
    <cellStyle name="Normal 16 9 2" xfId="591"/>
    <cellStyle name="Normal 16 9 3" xfId="843"/>
    <cellStyle name="Normal 17" xfId="458"/>
    <cellStyle name="Normal 2" xfId="15"/>
    <cellStyle name="Normal 2 10" xfId="83"/>
    <cellStyle name="Normal 2 11" xfId="84"/>
    <cellStyle name="Normal 2 12" xfId="85"/>
    <cellStyle name="Normal 2 13" xfId="86"/>
    <cellStyle name="Normal 2 14" xfId="87"/>
    <cellStyle name="Normal 2 15" xfId="88"/>
    <cellStyle name="Normal 2 16" xfId="89"/>
    <cellStyle name="Normal 2 17" xfId="90"/>
    <cellStyle name="Normal 2 18" xfId="91"/>
    <cellStyle name="Normal 2 19" xfId="92"/>
    <cellStyle name="Normal 2 2" xfId="5"/>
    <cellStyle name="Normal 2 2 2" xfId="93"/>
    <cellStyle name="Normal 2 2 3" xfId="94"/>
    <cellStyle name="Normal 2 2 4" xfId="95"/>
    <cellStyle name="Normal 2 2 5" xfId="96"/>
    <cellStyle name="Normal 2 2 6" xfId="97"/>
    <cellStyle name="Normal 2 2 7" xfId="98"/>
    <cellStyle name="Normal 2 20" xfId="99"/>
    <cellStyle name="Normal 2 21" xfId="100"/>
    <cellStyle name="Normal 2 22" xfId="101"/>
    <cellStyle name="Normal 2 23" xfId="102"/>
    <cellStyle name="Normal 2 24" xfId="103"/>
    <cellStyle name="Normal 2 25" xfId="104"/>
    <cellStyle name="Normal 2 26" xfId="105"/>
    <cellStyle name="Normal 2 27" xfId="106"/>
    <cellStyle name="Normal 2 28" xfId="107"/>
    <cellStyle name="Normal 2 29" xfId="108"/>
    <cellStyle name="Normal 2 3" xfId="6"/>
    <cellStyle name="Normal 2 3 2" xfId="109"/>
    <cellStyle name="Normal 2 30" xfId="110"/>
    <cellStyle name="Normal 2 31" xfId="111"/>
    <cellStyle name="Normal 2 31 10" xfId="463"/>
    <cellStyle name="Normal 2 31 11" xfId="715"/>
    <cellStyle name="Normal 2 31 2" xfId="214"/>
    <cellStyle name="Normal 2 31 2 2" xfId="258"/>
    <cellStyle name="Normal 2 31 2 2 2" xfId="385"/>
    <cellStyle name="Normal 2 31 2 2 2 2" xfId="638"/>
    <cellStyle name="Normal 2 31 2 2 2 3" xfId="890"/>
    <cellStyle name="Normal 2 31 2 2 3" xfId="512"/>
    <cellStyle name="Normal 2 31 2 2 4" xfId="764"/>
    <cellStyle name="Normal 2 31 2 3" xfId="300"/>
    <cellStyle name="Normal 2 31 2 3 2" xfId="427"/>
    <cellStyle name="Normal 2 31 2 3 2 2" xfId="680"/>
    <cellStyle name="Normal 2 31 2 3 2 3" xfId="932"/>
    <cellStyle name="Normal 2 31 2 3 3" xfId="554"/>
    <cellStyle name="Normal 2 31 2 3 4" xfId="806"/>
    <cellStyle name="Normal 2 31 2 4" xfId="343"/>
    <cellStyle name="Normal 2 31 2 4 2" xfId="596"/>
    <cellStyle name="Normal 2 31 2 4 3" xfId="848"/>
    <cellStyle name="Normal 2 31 2 5" xfId="470"/>
    <cellStyle name="Normal 2 31 2 6" xfId="722"/>
    <cellStyle name="Normal 2 31 3" xfId="220"/>
    <cellStyle name="Normal 2 31 3 2" xfId="264"/>
    <cellStyle name="Normal 2 31 3 2 2" xfId="391"/>
    <cellStyle name="Normal 2 31 3 2 2 2" xfId="644"/>
    <cellStyle name="Normal 2 31 3 2 2 3" xfId="896"/>
    <cellStyle name="Normal 2 31 3 2 3" xfId="518"/>
    <cellStyle name="Normal 2 31 3 2 4" xfId="770"/>
    <cellStyle name="Normal 2 31 3 3" xfId="306"/>
    <cellStyle name="Normal 2 31 3 3 2" xfId="433"/>
    <cellStyle name="Normal 2 31 3 3 2 2" xfId="686"/>
    <cellStyle name="Normal 2 31 3 3 2 3" xfId="938"/>
    <cellStyle name="Normal 2 31 3 3 3" xfId="560"/>
    <cellStyle name="Normal 2 31 3 3 4" xfId="812"/>
    <cellStyle name="Normal 2 31 3 4" xfId="349"/>
    <cellStyle name="Normal 2 31 3 4 2" xfId="602"/>
    <cellStyle name="Normal 2 31 3 4 3" xfId="854"/>
    <cellStyle name="Normal 2 31 3 5" xfId="476"/>
    <cellStyle name="Normal 2 31 3 6" xfId="728"/>
    <cellStyle name="Normal 2 31 4" xfId="228"/>
    <cellStyle name="Normal 2 31 4 2" xfId="272"/>
    <cellStyle name="Normal 2 31 4 2 2" xfId="399"/>
    <cellStyle name="Normal 2 31 4 2 2 2" xfId="652"/>
    <cellStyle name="Normal 2 31 4 2 2 3" xfId="904"/>
    <cellStyle name="Normal 2 31 4 2 3" xfId="526"/>
    <cellStyle name="Normal 2 31 4 2 4" xfId="778"/>
    <cellStyle name="Normal 2 31 4 3" xfId="314"/>
    <cellStyle name="Normal 2 31 4 3 2" xfId="441"/>
    <cellStyle name="Normal 2 31 4 3 2 2" xfId="694"/>
    <cellStyle name="Normal 2 31 4 3 2 3" xfId="946"/>
    <cellStyle name="Normal 2 31 4 3 3" xfId="568"/>
    <cellStyle name="Normal 2 31 4 3 4" xfId="820"/>
    <cellStyle name="Normal 2 31 4 4" xfId="357"/>
    <cellStyle name="Normal 2 31 4 4 2" xfId="610"/>
    <cellStyle name="Normal 2 31 4 4 3" xfId="862"/>
    <cellStyle name="Normal 2 31 4 5" xfId="484"/>
    <cellStyle name="Normal 2 31 4 6" xfId="736"/>
    <cellStyle name="Normal 2 31 5" xfId="235"/>
    <cellStyle name="Normal 2 31 5 2" xfId="279"/>
    <cellStyle name="Normal 2 31 5 2 2" xfId="406"/>
    <cellStyle name="Normal 2 31 5 2 2 2" xfId="659"/>
    <cellStyle name="Normal 2 31 5 2 2 3" xfId="911"/>
    <cellStyle name="Normal 2 31 5 2 3" xfId="533"/>
    <cellStyle name="Normal 2 31 5 2 4" xfId="785"/>
    <cellStyle name="Normal 2 31 5 3" xfId="321"/>
    <cellStyle name="Normal 2 31 5 3 2" xfId="448"/>
    <cellStyle name="Normal 2 31 5 3 2 2" xfId="701"/>
    <cellStyle name="Normal 2 31 5 3 2 3" xfId="953"/>
    <cellStyle name="Normal 2 31 5 3 3" xfId="575"/>
    <cellStyle name="Normal 2 31 5 3 4" xfId="827"/>
    <cellStyle name="Normal 2 31 5 4" xfId="364"/>
    <cellStyle name="Normal 2 31 5 4 2" xfId="617"/>
    <cellStyle name="Normal 2 31 5 4 3" xfId="869"/>
    <cellStyle name="Normal 2 31 5 5" xfId="491"/>
    <cellStyle name="Normal 2 31 5 6" xfId="743"/>
    <cellStyle name="Normal 2 31 6" xfId="242"/>
    <cellStyle name="Normal 2 31 6 2" xfId="286"/>
    <cellStyle name="Normal 2 31 6 2 2" xfId="413"/>
    <cellStyle name="Normal 2 31 6 2 2 2" xfId="666"/>
    <cellStyle name="Normal 2 31 6 2 2 3" xfId="918"/>
    <cellStyle name="Normal 2 31 6 2 3" xfId="540"/>
    <cellStyle name="Normal 2 31 6 2 4" xfId="792"/>
    <cellStyle name="Normal 2 31 6 3" xfId="328"/>
    <cellStyle name="Normal 2 31 6 3 2" xfId="455"/>
    <cellStyle name="Normal 2 31 6 3 2 2" xfId="708"/>
    <cellStyle name="Normal 2 31 6 3 2 3" xfId="960"/>
    <cellStyle name="Normal 2 31 6 3 3" xfId="582"/>
    <cellStyle name="Normal 2 31 6 3 4" xfId="834"/>
    <cellStyle name="Normal 2 31 6 4" xfId="371"/>
    <cellStyle name="Normal 2 31 6 4 2" xfId="624"/>
    <cellStyle name="Normal 2 31 6 4 3" xfId="876"/>
    <cellStyle name="Normal 2 31 6 5" xfId="498"/>
    <cellStyle name="Normal 2 31 6 6" xfId="750"/>
    <cellStyle name="Normal 2 31 7" xfId="251"/>
    <cellStyle name="Normal 2 31 7 2" xfId="378"/>
    <cellStyle name="Normal 2 31 7 2 2" xfId="631"/>
    <cellStyle name="Normal 2 31 7 2 3" xfId="883"/>
    <cellStyle name="Normal 2 31 7 3" xfId="505"/>
    <cellStyle name="Normal 2 31 7 4" xfId="757"/>
    <cellStyle name="Normal 2 31 8" xfId="293"/>
    <cellStyle name="Normal 2 31 8 2" xfId="420"/>
    <cellStyle name="Normal 2 31 8 2 2" xfId="673"/>
    <cellStyle name="Normal 2 31 8 2 3" xfId="925"/>
    <cellStyle name="Normal 2 31 8 3" xfId="547"/>
    <cellStyle name="Normal 2 31 8 4" xfId="799"/>
    <cellStyle name="Normal 2 31 9" xfId="336"/>
    <cellStyle name="Normal 2 31 9 2" xfId="589"/>
    <cellStyle name="Normal 2 31 9 3" xfId="841"/>
    <cellStyle name="Normal 2 32" xfId="112"/>
    <cellStyle name="Normal 2 33" xfId="82"/>
    <cellStyle name="Normal 2 33 10" xfId="462"/>
    <cellStyle name="Normal 2 33 11" xfId="714"/>
    <cellStyle name="Normal 2 33 2" xfId="213"/>
    <cellStyle name="Normal 2 33 2 2" xfId="257"/>
    <cellStyle name="Normal 2 33 2 2 2" xfId="384"/>
    <cellStyle name="Normal 2 33 2 2 2 2" xfId="637"/>
    <cellStyle name="Normal 2 33 2 2 2 3" xfId="889"/>
    <cellStyle name="Normal 2 33 2 2 3" xfId="511"/>
    <cellStyle name="Normal 2 33 2 2 4" xfId="763"/>
    <cellStyle name="Normal 2 33 2 3" xfId="299"/>
    <cellStyle name="Normal 2 33 2 3 2" xfId="426"/>
    <cellStyle name="Normal 2 33 2 3 2 2" xfId="679"/>
    <cellStyle name="Normal 2 33 2 3 2 3" xfId="931"/>
    <cellStyle name="Normal 2 33 2 3 3" xfId="553"/>
    <cellStyle name="Normal 2 33 2 3 4" xfId="805"/>
    <cellStyle name="Normal 2 33 2 4" xfId="342"/>
    <cellStyle name="Normal 2 33 2 4 2" xfId="595"/>
    <cellStyle name="Normal 2 33 2 4 3" xfId="847"/>
    <cellStyle name="Normal 2 33 2 5" xfId="469"/>
    <cellStyle name="Normal 2 33 2 6" xfId="721"/>
    <cellStyle name="Normal 2 33 3" xfId="221"/>
    <cellStyle name="Normal 2 33 3 2" xfId="265"/>
    <cellStyle name="Normal 2 33 3 2 2" xfId="392"/>
    <cellStyle name="Normal 2 33 3 2 2 2" xfId="645"/>
    <cellStyle name="Normal 2 33 3 2 2 3" xfId="897"/>
    <cellStyle name="Normal 2 33 3 2 3" xfId="519"/>
    <cellStyle name="Normal 2 33 3 2 4" xfId="771"/>
    <cellStyle name="Normal 2 33 3 3" xfId="307"/>
    <cellStyle name="Normal 2 33 3 3 2" xfId="434"/>
    <cellStyle name="Normal 2 33 3 3 2 2" xfId="687"/>
    <cellStyle name="Normal 2 33 3 3 2 3" xfId="939"/>
    <cellStyle name="Normal 2 33 3 3 3" xfId="561"/>
    <cellStyle name="Normal 2 33 3 3 4" xfId="813"/>
    <cellStyle name="Normal 2 33 3 4" xfId="350"/>
    <cellStyle name="Normal 2 33 3 4 2" xfId="603"/>
    <cellStyle name="Normal 2 33 3 4 3" xfId="855"/>
    <cellStyle name="Normal 2 33 3 5" xfId="477"/>
    <cellStyle name="Normal 2 33 3 6" xfId="729"/>
    <cellStyle name="Normal 2 33 4" xfId="227"/>
    <cellStyle name="Normal 2 33 4 2" xfId="271"/>
    <cellStyle name="Normal 2 33 4 2 2" xfId="398"/>
    <cellStyle name="Normal 2 33 4 2 2 2" xfId="651"/>
    <cellStyle name="Normal 2 33 4 2 2 3" xfId="903"/>
    <cellStyle name="Normal 2 33 4 2 3" xfId="525"/>
    <cellStyle name="Normal 2 33 4 2 4" xfId="777"/>
    <cellStyle name="Normal 2 33 4 3" xfId="313"/>
    <cellStyle name="Normal 2 33 4 3 2" xfId="440"/>
    <cellStyle name="Normal 2 33 4 3 2 2" xfId="693"/>
    <cellStyle name="Normal 2 33 4 3 2 3" xfId="945"/>
    <cellStyle name="Normal 2 33 4 3 3" xfId="567"/>
    <cellStyle name="Normal 2 33 4 3 4" xfId="819"/>
    <cellStyle name="Normal 2 33 4 4" xfId="356"/>
    <cellStyle name="Normal 2 33 4 4 2" xfId="609"/>
    <cellStyle name="Normal 2 33 4 4 3" xfId="861"/>
    <cellStyle name="Normal 2 33 4 5" xfId="483"/>
    <cellStyle name="Normal 2 33 4 6" xfId="735"/>
    <cellStyle name="Normal 2 33 5" xfId="234"/>
    <cellStyle name="Normal 2 33 5 2" xfId="278"/>
    <cellStyle name="Normal 2 33 5 2 2" xfId="405"/>
    <cellStyle name="Normal 2 33 5 2 2 2" xfId="658"/>
    <cellStyle name="Normal 2 33 5 2 2 3" xfId="910"/>
    <cellStyle name="Normal 2 33 5 2 3" xfId="532"/>
    <cellStyle name="Normal 2 33 5 2 4" xfId="784"/>
    <cellStyle name="Normal 2 33 5 3" xfId="320"/>
    <cellStyle name="Normal 2 33 5 3 2" xfId="447"/>
    <cellStyle name="Normal 2 33 5 3 2 2" xfId="700"/>
    <cellStyle name="Normal 2 33 5 3 2 3" xfId="952"/>
    <cellStyle name="Normal 2 33 5 3 3" xfId="574"/>
    <cellStyle name="Normal 2 33 5 3 4" xfId="826"/>
    <cellStyle name="Normal 2 33 5 4" xfId="363"/>
    <cellStyle name="Normal 2 33 5 4 2" xfId="616"/>
    <cellStyle name="Normal 2 33 5 4 3" xfId="868"/>
    <cellStyle name="Normal 2 33 5 5" xfId="490"/>
    <cellStyle name="Normal 2 33 5 6" xfId="742"/>
    <cellStyle name="Normal 2 33 6" xfId="241"/>
    <cellStyle name="Normal 2 33 6 2" xfId="285"/>
    <cellStyle name="Normal 2 33 6 2 2" xfId="412"/>
    <cellStyle name="Normal 2 33 6 2 2 2" xfId="665"/>
    <cellStyle name="Normal 2 33 6 2 2 3" xfId="917"/>
    <cellStyle name="Normal 2 33 6 2 3" xfId="539"/>
    <cellStyle name="Normal 2 33 6 2 4" xfId="791"/>
    <cellStyle name="Normal 2 33 6 3" xfId="327"/>
    <cellStyle name="Normal 2 33 6 3 2" xfId="454"/>
    <cellStyle name="Normal 2 33 6 3 2 2" xfId="707"/>
    <cellStyle name="Normal 2 33 6 3 2 3" xfId="959"/>
    <cellStyle name="Normal 2 33 6 3 3" xfId="581"/>
    <cellStyle name="Normal 2 33 6 3 4" xfId="833"/>
    <cellStyle name="Normal 2 33 6 4" xfId="370"/>
    <cellStyle name="Normal 2 33 6 4 2" xfId="623"/>
    <cellStyle name="Normal 2 33 6 4 3" xfId="875"/>
    <cellStyle name="Normal 2 33 6 5" xfId="497"/>
    <cellStyle name="Normal 2 33 6 6" xfId="749"/>
    <cellStyle name="Normal 2 33 7" xfId="250"/>
    <cellStyle name="Normal 2 33 7 2" xfId="377"/>
    <cellStyle name="Normal 2 33 7 2 2" xfId="630"/>
    <cellStyle name="Normal 2 33 7 2 3" xfId="882"/>
    <cellStyle name="Normal 2 33 7 3" xfId="504"/>
    <cellStyle name="Normal 2 33 7 4" xfId="756"/>
    <cellStyle name="Normal 2 33 8" xfId="292"/>
    <cellStyle name="Normal 2 33 8 2" xfId="419"/>
    <cellStyle name="Normal 2 33 8 2 2" xfId="672"/>
    <cellStyle name="Normal 2 33 8 2 3" xfId="924"/>
    <cellStyle name="Normal 2 33 8 3" xfId="546"/>
    <cellStyle name="Normal 2 33 8 4" xfId="798"/>
    <cellStyle name="Normal 2 33 9" xfId="335"/>
    <cellStyle name="Normal 2 33 9 2" xfId="588"/>
    <cellStyle name="Normal 2 33 9 3" xfId="840"/>
    <cellStyle name="Normal 2 34" xfId="28"/>
    <cellStyle name="Normal 2 4" xfId="113"/>
    <cellStyle name="Normal 2 5" xfId="114"/>
    <cellStyle name="Normal 2 6" xfId="115"/>
    <cellStyle name="Normal 2 7" xfId="116"/>
    <cellStyle name="Normal 2 8" xfId="117"/>
    <cellStyle name="Normal 2 9" xfId="118"/>
    <cellStyle name="Normal 3" xfId="12"/>
    <cellStyle name="Normal 3 2" xfId="119"/>
    <cellStyle name="Normal 3 3" xfId="120"/>
    <cellStyle name="Normal 3 4" xfId="121"/>
    <cellStyle name="Normal 3 5" xfId="122"/>
    <cellStyle name="Normal 4" xfId="7"/>
    <cellStyle name="Normal 4 2" xfId="123"/>
    <cellStyle name="Normal 4 3" xfId="124"/>
    <cellStyle name="Normal 5" xfId="8"/>
    <cellStyle name="Normal 5 2" xfId="125"/>
    <cellStyle name="Normal 5 3" xfId="23"/>
    <cellStyle name="Normal 6" xfId="9"/>
    <cellStyle name="Normal 6 2" xfId="24"/>
    <cellStyle name="Normal 7" xfId="10"/>
    <cellStyle name="Normal 7 2" xfId="25"/>
    <cellStyle name="Normal 8" xfId="18"/>
    <cellStyle name="Normal 9" xfId="11"/>
    <cellStyle name="Normal 9 2" xfId="26"/>
    <cellStyle name="Note 2" xfId="126"/>
    <cellStyle name="Parastais 13" xfId="127"/>
    <cellStyle name="Parastais 2" xfId="128"/>
    <cellStyle name="Parastais 2 2" xfId="129"/>
    <cellStyle name="Parastais 2 3" xfId="130"/>
    <cellStyle name="Parastais 2_FMRik_260209_marts_sad1II.variants" xfId="131"/>
    <cellStyle name="Parastais 3" xfId="132"/>
    <cellStyle name="Parastais 4" xfId="133"/>
    <cellStyle name="Parastais 5" xfId="134"/>
    <cellStyle name="Parastais 6" xfId="135"/>
    <cellStyle name="Parastais_FMLikp01_p05_221205_pap_afp_makp" xfId="136"/>
    <cellStyle name="Percent" xfId="14" builtinId="5"/>
    <cellStyle name="Percent 2" xfId="27"/>
    <cellStyle name="Percent 2 2" xfId="137"/>
    <cellStyle name="Percent 3" xfId="138"/>
    <cellStyle name="Percent 3 10" xfId="464"/>
    <cellStyle name="Percent 3 11" xfId="716"/>
    <cellStyle name="Percent 3 2" xfId="215"/>
    <cellStyle name="Percent 3 2 2" xfId="259"/>
    <cellStyle name="Percent 3 2 2 2" xfId="386"/>
    <cellStyle name="Percent 3 2 2 2 2" xfId="639"/>
    <cellStyle name="Percent 3 2 2 2 3" xfId="891"/>
    <cellStyle name="Percent 3 2 2 3" xfId="513"/>
    <cellStyle name="Percent 3 2 2 4" xfId="765"/>
    <cellStyle name="Percent 3 2 3" xfId="301"/>
    <cellStyle name="Percent 3 2 3 2" xfId="428"/>
    <cellStyle name="Percent 3 2 3 2 2" xfId="681"/>
    <cellStyle name="Percent 3 2 3 2 3" xfId="933"/>
    <cellStyle name="Percent 3 2 3 3" xfId="555"/>
    <cellStyle name="Percent 3 2 3 4" xfId="807"/>
    <cellStyle name="Percent 3 2 4" xfId="344"/>
    <cellStyle name="Percent 3 2 4 2" xfId="597"/>
    <cellStyle name="Percent 3 2 4 3" xfId="849"/>
    <cellStyle name="Percent 3 2 5" xfId="471"/>
    <cellStyle name="Percent 3 2 6" xfId="723"/>
    <cellStyle name="Percent 3 3" xfId="222"/>
    <cellStyle name="Percent 3 3 2" xfId="266"/>
    <cellStyle name="Percent 3 3 2 2" xfId="393"/>
    <cellStyle name="Percent 3 3 2 2 2" xfId="646"/>
    <cellStyle name="Percent 3 3 2 2 3" xfId="898"/>
    <cellStyle name="Percent 3 3 2 3" xfId="520"/>
    <cellStyle name="Percent 3 3 2 4" xfId="772"/>
    <cellStyle name="Percent 3 3 3" xfId="308"/>
    <cellStyle name="Percent 3 3 3 2" xfId="435"/>
    <cellStyle name="Percent 3 3 3 2 2" xfId="688"/>
    <cellStyle name="Percent 3 3 3 2 3" xfId="940"/>
    <cellStyle name="Percent 3 3 3 3" xfId="562"/>
    <cellStyle name="Percent 3 3 3 4" xfId="814"/>
    <cellStyle name="Percent 3 3 4" xfId="351"/>
    <cellStyle name="Percent 3 3 4 2" xfId="604"/>
    <cellStyle name="Percent 3 3 4 3" xfId="856"/>
    <cellStyle name="Percent 3 3 5" xfId="478"/>
    <cellStyle name="Percent 3 3 6" xfId="730"/>
    <cellStyle name="Percent 3 4" xfId="229"/>
    <cellStyle name="Percent 3 4 2" xfId="273"/>
    <cellStyle name="Percent 3 4 2 2" xfId="400"/>
    <cellStyle name="Percent 3 4 2 2 2" xfId="653"/>
    <cellStyle name="Percent 3 4 2 2 3" xfId="905"/>
    <cellStyle name="Percent 3 4 2 3" xfId="527"/>
    <cellStyle name="Percent 3 4 2 4" xfId="779"/>
    <cellStyle name="Percent 3 4 3" xfId="315"/>
    <cellStyle name="Percent 3 4 3 2" xfId="442"/>
    <cellStyle name="Percent 3 4 3 2 2" xfId="695"/>
    <cellStyle name="Percent 3 4 3 2 3" xfId="947"/>
    <cellStyle name="Percent 3 4 3 3" xfId="569"/>
    <cellStyle name="Percent 3 4 3 4" xfId="821"/>
    <cellStyle name="Percent 3 4 4" xfId="358"/>
    <cellStyle name="Percent 3 4 4 2" xfId="611"/>
    <cellStyle name="Percent 3 4 4 3" xfId="863"/>
    <cellStyle name="Percent 3 4 5" xfId="485"/>
    <cellStyle name="Percent 3 4 6" xfId="737"/>
    <cellStyle name="Percent 3 5" xfId="236"/>
    <cellStyle name="Percent 3 5 2" xfId="280"/>
    <cellStyle name="Percent 3 5 2 2" xfId="407"/>
    <cellStyle name="Percent 3 5 2 2 2" xfId="660"/>
    <cellStyle name="Percent 3 5 2 2 3" xfId="912"/>
    <cellStyle name="Percent 3 5 2 3" xfId="534"/>
    <cellStyle name="Percent 3 5 2 4" xfId="786"/>
    <cellStyle name="Percent 3 5 3" xfId="322"/>
    <cellStyle name="Percent 3 5 3 2" xfId="449"/>
    <cellStyle name="Percent 3 5 3 2 2" xfId="702"/>
    <cellStyle name="Percent 3 5 3 2 3" xfId="954"/>
    <cellStyle name="Percent 3 5 3 3" xfId="576"/>
    <cellStyle name="Percent 3 5 3 4" xfId="828"/>
    <cellStyle name="Percent 3 5 4" xfId="365"/>
    <cellStyle name="Percent 3 5 4 2" xfId="618"/>
    <cellStyle name="Percent 3 5 4 3" xfId="870"/>
    <cellStyle name="Percent 3 5 5" xfId="492"/>
    <cellStyle name="Percent 3 5 6" xfId="744"/>
    <cellStyle name="Percent 3 6" xfId="243"/>
    <cellStyle name="Percent 3 6 2" xfId="287"/>
    <cellStyle name="Percent 3 6 2 2" xfId="414"/>
    <cellStyle name="Percent 3 6 2 2 2" xfId="667"/>
    <cellStyle name="Percent 3 6 2 2 3" xfId="919"/>
    <cellStyle name="Percent 3 6 2 3" xfId="541"/>
    <cellStyle name="Percent 3 6 2 4" xfId="793"/>
    <cellStyle name="Percent 3 6 3" xfId="329"/>
    <cellStyle name="Percent 3 6 3 2" xfId="456"/>
    <cellStyle name="Percent 3 6 3 2 2" xfId="709"/>
    <cellStyle name="Percent 3 6 3 2 3" xfId="961"/>
    <cellStyle name="Percent 3 6 3 3" xfId="583"/>
    <cellStyle name="Percent 3 6 3 4" xfId="835"/>
    <cellStyle name="Percent 3 6 4" xfId="372"/>
    <cellStyle name="Percent 3 6 4 2" xfId="625"/>
    <cellStyle name="Percent 3 6 4 3" xfId="877"/>
    <cellStyle name="Percent 3 6 5" xfId="499"/>
    <cellStyle name="Percent 3 6 6" xfId="751"/>
    <cellStyle name="Percent 3 7" xfId="252"/>
    <cellStyle name="Percent 3 7 2" xfId="379"/>
    <cellStyle name="Percent 3 7 2 2" xfId="632"/>
    <cellStyle name="Percent 3 7 2 3" xfId="884"/>
    <cellStyle name="Percent 3 7 3" xfId="506"/>
    <cellStyle name="Percent 3 7 4" xfId="758"/>
    <cellStyle name="Percent 3 8" xfId="294"/>
    <cellStyle name="Percent 3 8 2" xfId="421"/>
    <cellStyle name="Percent 3 8 2 2" xfId="674"/>
    <cellStyle name="Percent 3 8 2 3" xfId="926"/>
    <cellStyle name="Percent 3 8 3" xfId="548"/>
    <cellStyle name="Percent 3 8 4" xfId="800"/>
    <cellStyle name="Percent 3 9" xfId="337"/>
    <cellStyle name="Percent 3 9 2" xfId="590"/>
    <cellStyle name="Percent 3 9 3" xfId="842"/>
    <cellStyle name="Percent 4" xfId="17"/>
    <cellStyle name="Percent 4 10" xfId="460"/>
    <cellStyle name="Percent 4 11" xfId="712"/>
    <cellStyle name="Percent 4 2" xfId="211"/>
    <cellStyle name="Percent 4 2 2" xfId="255"/>
    <cellStyle name="Percent 4 2 2 2" xfId="382"/>
    <cellStyle name="Percent 4 2 2 2 2" xfId="635"/>
    <cellStyle name="Percent 4 2 2 2 3" xfId="887"/>
    <cellStyle name="Percent 4 2 2 3" xfId="509"/>
    <cellStyle name="Percent 4 2 2 4" xfId="761"/>
    <cellStyle name="Percent 4 2 3" xfId="297"/>
    <cellStyle name="Percent 4 2 3 2" xfId="424"/>
    <cellStyle name="Percent 4 2 3 2 2" xfId="677"/>
    <cellStyle name="Percent 4 2 3 2 3" xfId="929"/>
    <cellStyle name="Percent 4 2 3 3" xfId="551"/>
    <cellStyle name="Percent 4 2 3 4" xfId="803"/>
    <cellStyle name="Percent 4 2 4" xfId="340"/>
    <cellStyle name="Percent 4 2 4 2" xfId="593"/>
    <cellStyle name="Percent 4 2 4 3" xfId="845"/>
    <cellStyle name="Percent 4 2 5" xfId="467"/>
    <cellStyle name="Percent 4 2 6" xfId="719"/>
    <cellStyle name="Percent 4 3" xfId="223"/>
    <cellStyle name="Percent 4 3 2" xfId="267"/>
    <cellStyle name="Percent 4 3 2 2" xfId="394"/>
    <cellStyle name="Percent 4 3 2 2 2" xfId="647"/>
    <cellStyle name="Percent 4 3 2 2 3" xfId="899"/>
    <cellStyle name="Percent 4 3 2 3" xfId="521"/>
    <cellStyle name="Percent 4 3 2 4" xfId="773"/>
    <cellStyle name="Percent 4 3 3" xfId="309"/>
    <cellStyle name="Percent 4 3 3 2" xfId="436"/>
    <cellStyle name="Percent 4 3 3 2 2" xfId="689"/>
    <cellStyle name="Percent 4 3 3 2 3" xfId="941"/>
    <cellStyle name="Percent 4 3 3 3" xfId="563"/>
    <cellStyle name="Percent 4 3 3 4" xfId="815"/>
    <cellStyle name="Percent 4 3 4" xfId="352"/>
    <cellStyle name="Percent 4 3 4 2" xfId="605"/>
    <cellStyle name="Percent 4 3 4 3" xfId="857"/>
    <cellStyle name="Percent 4 3 5" xfId="479"/>
    <cellStyle name="Percent 4 3 6" xfId="731"/>
    <cellStyle name="Percent 4 4" xfId="225"/>
    <cellStyle name="Percent 4 4 2" xfId="269"/>
    <cellStyle name="Percent 4 4 2 2" xfId="396"/>
    <cellStyle name="Percent 4 4 2 2 2" xfId="649"/>
    <cellStyle name="Percent 4 4 2 2 3" xfId="901"/>
    <cellStyle name="Percent 4 4 2 3" xfId="523"/>
    <cellStyle name="Percent 4 4 2 4" xfId="775"/>
    <cellStyle name="Percent 4 4 3" xfId="311"/>
    <cellStyle name="Percent 4 4 3 2" xfId="438"/>
    <cellStyle name="Percent 4 4 3 2 2" xfId="691"/>
    <cellStyle name="Percent 4 4 3 2 3" xfId="943"/>
    <cellStyle name="Percent 4 4 3 3" xfId="565"/>
    <cellStyle name="Percent 4 4 3 4" xfId="817"/>
    <cellStyle name="Percent 4 4 4" xfId="354"/>
    <cellStyle name="Percent 4 4 4 2" xfId="607"/>
    <cellStyle name="Percent 4 4 4 3" xfId="859"/>
    <cellStyle name="Percent 4 4 5" xfId="481"/>
    <cellStyle name="Percent 4 4 6" xfId="733"/>
    <cellStyle name="Percent 4 5" xfId="232"/>
    <cellStyle name="Percent 4 5 2" xfId="276"/>
    <cellStyle name="Percent 4 5 2 2" xfId="403"/>
    <cellStyle name="Percent 4 5 2 2 2" xfId="656"/>
    <cellStyle name="Percent 4 5 2 2 3" xfId="908"/>
    <cellStyle name="Percent 4 5 2 3" xfId="530"/>
    <cellStyle name="Percent 4 5 2 4" xfId="782"/>
    <cellStyle name="Percent 4 5 3" xfId="318"/>
    <cellStyle name="Percent 4 5 3 2" xfId="445"/>
    <cellStyle name="Percent 4 5 3 2 2" xfId="698"/>
    <cellStyle name="Percent 4 5 3 2 3" xfId="950"/>
    <cellStyle name="Percent 4 5 3 3" xfId="572"/>
    <cellStyle name="Percent 4 5 3 4" xfId="824"/>
    <cellStyle name="Percent 4 5 4" xfId="361"/>
    <cellStyle name="Percent 4 5 4 2" xfId="614"/>
    <cellStyle name="Percent 4 5 4 3" xfId="866"/>
    <cellStyle name="Percent 4 5 5" xfId="488"/>
    <cellStyle name="Percent 4 5 6" xfId="740"/>
    <cellStyle name="Percent 4 6" xfId="239"/>
    <cellStyle name="Percent 4 6 2" xfId="283"/>
    <cellStyle name="Percent 4 6 2 2" xfId="410"/>
    <cellStyle name="Percent 4 6 2 2 2" xfId="663"/>
    <cellStyle name="Percent 4 6 2 2 3" xfId="915"/>
    <cellStyle name="Percent 4 6 2 3" xfId="537"/>
    <cellStyle name="Percent 4 6 2 4" xfId="789"/>
    <cellStyle name="Percent 4 6 3" xfId="325"/>
    <cellStyle name="Percent 4 6 3 2" xfId="452"/>
    <cellStyle name="Percent 4 6 3 2 2" xfId="705"/>
    <cellStyle name="Percent 4 6 3 2 3" xfId="957"/>
    <cellStyle name="Percent 4 6 3 3" xfId="579"/>
    <cellStyle name="Percent 4 6 3 4" xfId="831"/>
    <cellStyle name="Percent 4 6 4" xfId="368"/>
    <cellStyle name="Percent 4 6 4 2" xfId="621"/>
    <cellStyle name="Percent 4 6 4 3" xfId="873"/>
    <cellStyle name="Percent 4 6 5" xfId="495"/>
    <cellStyle name="Percent 4 6 6" xfId="747"/>
    <cellStyle name="Percent 4 7" xfId="247"/>
    <cellStyle name="Percent 4 7 2" xfId="375"/>
    <cellStyle name="Percent 4 7 2 2" xfId="628"/>
    <cellStyle name="Percent 4 7 2 3" xfId="880"/>
    <cellStyle name="Percent 4 7 3" xfId="502"/>
    <cellStyle name="Percent 4 7 4" xfId="754"/>
    <cellStyle name="Percent 4 8" xfId="290"/>
    <cellStyle name="Percent 4 8 2" xfId="417"/>
    <cellStyle name="Percent 4 8 2 2" xfId="670"/>
    <cellStyle name="Percent 4 8 2 3" xfId="922"/>
    <cellStyle name="Percent 4 8 3" xfId="544"/>
    <cellStyle name="Percent 4 8 4" xfId="796"/>
    <cellStyle name="Percent 4 9" xfId="333"/>
    <cellStyle name="Percent 4 9 2" xfId="586"/>
    <cellStyle name="Percent 4 9 3" xfId="838"/>
    <cellStyle name="Pie??m." xfId="139"/>
    <cellStyle name="SAPBEXaggData" xfId="140"/>
    <cellStyle name="SAPBEXaggData 2" xfId="141"/>
    <cellStyle name="SAPBEXaggDataEmph" xfId="142"/>
    <cellStyle name="SAPBEXaggDataEmph 2" xfId="143"/>
    <cellStyle name="SAPBEXaggItem" xfId="144"/>
    <cellStyle name="SAPBEXaggItem 2" xfId="145"/>
    <cellStyle name="SAPBEXaggItemX" xfId="146"/>
    <cellStyle name="SAPBEXaggItemX 2" xfId="147"/>
    <cellStyle name="SAPBEXchaText" xfId="148"/>
    <cellStyle name="SAPBEXchaText 2" xfId="149"/>
    <cellStyle name="SAPBEXexcBad7" xfId="150"/>
    <cellStyle name="SAPBEXexcBad8" xfId="151"/>
    <cellStyle name="SAPBEXexcBad9" xfId="152"/>
    <cellStyle name="SAPBEXexcCritical4" xfId="153"/>
    <cellStyle name="SAPBEXexcCritical5" xfId="154"/>
    <cellStyle name="SAPBEXexcCritical6" xfId="155"/>
    <cellStyle name="SAPBEXexcGood1" xfId="156"/>
    <cellStyle name="SAPBEXexcGood2" xfId="157"/>
    <cellStyle name="SAPBEXexcGood3" xfId="158"/>
    <cellStyle name="SAPBEXfilterDrill" xfId="159"/>
    <cellStyle name="SAPBEXfilterItem" xfId="160"/>
    <cellStyle name="SAPBEXfilterText" xfId="161"/>
    <cellStyle name="SAPBEXfilterText 2" xfId="162"/>
    <cellStyle name="SAPBEXformats" xfId="163"/>
    <cellStyle name="SAPBEXheaderItem" xfId="164"/>
    <cellStyle name="SAPBEXheaderText" xfId="165"/>
    <cellStyle name="SAPBEXheaderText 2" xfId="166"/>
    <cellStyle name="SAPBEXHLevel0" xfId="167"/>
    <cellStyle name="SAPBEXHLevel0 2" xfId="168"/>
    <cellStyle name="SAPBEXHLevel0X" xfId="169"/>
    <cellStyle name="SAPBEXHLevel0X 2" xfId="170"/>
    <cellStyle name="SAPBEXHLevel1" xfId="171"/>
    <cellStyle name="SAPBEXHLevel1 2" xfId="172"/>
    <cellStyle name="SAPBEXHLevel1X" xfId="173"/>
    <cellStyle name="SAPBEXHLevel1X 2" xfId="174"/>
    <cellStyle name="SAPBEXHLevel2" xfId="175"/>
    <cellStyle name="SAPBEXHLevel2 2" xfId="176"/>
    <cellStyle name="SAPBEXHLevel2X" xfId="177"/>
    <cellStyle name="SAPBEXHLevel2X 2" xfId="178"/>
    <cellStyle name="SAPBEXHLevel3" xfId="179"/>
    <cellStyle name="SAPBEXHLevel3 2" xfId="180"/>
    <cellStyle name="SAPBEXHLevel3X" xfId="181"/>
    <cellStyle name="SAPBEXHLevel3X 2" xfId="182"/>
    <cellStyle name="SAPBEXinputData" xfId="183"/>
    <cellStyle name="SAPBEXinputData 2" xfId="184"/>
    <cellStyle name="SAPBEXresData" xfId="185"/>
    <cellStyle name="SAPBEXresData 2" xfId="186"/>
    <cellStyle name="SAPBEXresDataEmph" xfId="187"/>
    <cellStyle name="SAPBEXresDataEmph 2" xfId="188"/>
    <cellStyle name="SAPBEXresItem" xfId="189"/>
    <cellStyle name="SAPBEXresItem 2" xfId="190"/>
    <cellStyle name="SAPBEXresItemX" xfId="191"/>
    <cellStyle name="SAPBEXresItemX 2" xfId="192"/>
    <cellStyle name="SAPBEXstdData" xfId="193"/>
    <cellStyle name="SAPBEXstdData 2" xfId="194"/>
    <cellStyle name="SAPBEXstdData_2009 g _150609" xfId="195"/>
    <cellStyle name="SAPBEXstdDataEmph" xfId="196"/>
    <cellStyle name="SAPBEXstdItem" xfId="197"/>
    <cellStyle name="SAPBEXstdItem 2" xfId="198"/>
    <cellStyle name="SAPBEXstdItem 3" xfId="199"/>
    <cellStyle name="SAPBEXstdItem_FMLikp03_081208_15_aprrez" xfId="200"/>
    <cellStyle name="SAPBEXstdItemX" xfId="201"/>
    <cellStyle name="SAPBEXstdItemX 2" xfId="202"/>
    <cellStyle name="SAPBEXtitle" xfId="203"/>
    <cellStyle name="SAPBEXundefined" xfId="204"/>
    <cellStyle name="Sheet Title" xfId="205"/>
    <cellStyle name="Stils 1" xfId="206"/>
    <cellStyle name="Style 1" xfId="207"/>
    <cellStyle name="V?st." xfId="208"/>
  </cellStyles>
  <dxfs count="0"/>
  <tableStyles count="0" defaultTableStyle="TableStyleMedium9" defaultPivotStyle="PivotStyleLight16"/>
  <colors>
    <mruColors>
      <color rgb="FF4B6DCD"/>
      <color rgb="FFFCD5B5"/>
      <color rgb="FFFBC605"/>
      <color rgb="FFCA3A3A"/>
      <color rgb="FFFDEAB5"/>
      <color rgb="FF292DCD"/>
      <color rgb="FF80C535"/>
      <color rgb="FFAE7FBB"/>
      <color rgb="FF1AA244"/>
      <color rgb="FF8A1A1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823085967837074E-2"/>
          <c:y val="1.2298770828172481E-2"/>
          <c:w val="0.95125067548556386"/>
          <c:h val="0.75288251272255891"/>
        </c:manualLayout>
      </c:layout>
      <c:barChart>
        <c:barDir val="bar"/>
        <c:grouping val="clustered"/>
        <c:varyColors val="0"/>
        <c:ser>
          <c:idx val="0"/>
          <c:order val="0"/>
          <c:tx>
            <c:strRef>
              <c:f>Grafiks!$B$1</c:f>
              <c:strCache>
                <c:ptCount val="1"/>
                <c:pt idx="0">
                  <c:v>Virssaistību finansējums atbilstoši apst. MK p/l; Kopā 280,1 milj. latu</c:v>
                </c:pt>
              </c:strCache>
            </c:strRef>
          </c:tx>
          <c:spPr>
            <a:solidFill>
              <a:srgbClr val="4B6DC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Grafiks!$A$3:$A$29</c:f>
              <c:strCache>
                <c:ptCount val="25"/>
                <c:pt idx="0">
                  <c:v>VARAM</c:v>
                </c:pt>
                <c:pt idx="4">
                  <c:v>EM</c:v>
                </c:pt>
                <c:pt idx="8">
                  <c:v>SM</c:v>
                </c:pt>
                <c:pt idx="12">
                  <c:v>IZM</c:v>
                </c:pt>
                <c:pt idx="16">
                  <c:v>LM</c:v>
                </c:pt>
                <c:pt idx="20">
                  <c:v>KM</c:v>
                </c:pt>
                <c:pt idx="24">
                  <c:v>VeM</c:v>
                </c:pt>
              </c:strCache>
            </c:strRef>
          </c:cat>
          <c:val>
            <c:numRef>
              <c:f>Grafiks!$B$3:$B$29</c:f>
              <c:numCache>
                <c:formatCode>#,##0</c:formatCode>
                <c:ptCount val="27"/>
                <c:pt idx="0">
                  <c:v>82719293</c:v>
                </c:pt>
                <c:pt idx="4">
                  <c:v>56835208</c:v>
                </c:pt>
                <c:pt idx="8">
                  <c:v>52382961</c:v>
                </c:pt>
                <c:pt idx="12">
                  <c:v>36037209.557135999</c:v>
                </c:pt>
                <c:pt idx="16">
                  <c:v>32591616.413770001</c:v>
                </c:pt>
                <c:pt idx="20">
                  <c:v>12000000</c:v>
                </c:pt>
                <c:pt idx="24">
                  <c:v>11800000</c:v>
                </c:pt>
              </c:numCache>
            </c:numRef>
          </c:val>
        </c:ser>
        <c:ser>
          <c:idx val="1"/>
          <c:order val="1"/>
          <c:tx>
            <c:strRef>
              <c:f>Grafiks!$C$1</c:f>
              <c:strCache>
                <c:ptCount val="1"/>
                <c:pt idx="0">
                  <c:v>Noslēgti līgumi par virssaistību finansējumu (publiskā fin.daļa) uz 30.09.2013.; Kopā 83,5 milj. latu</c:v>
                </c:pt>
              </c:strCache>
            </c:strRef>
          </c:tx>
          <c:spPr>
            <a:solidFill>
              <a:srgbClr val="CA3A3A"/>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Grafiks!$A$3:$A$29</c:f>
              <c:strCache>
                <c:ptCount val="25"/>
                <c:pt idx="0">
                  <c:v>VARAM</c:v>
                </c:pt>
                <c:pt idx="4">
                  <c:v>EM</c:v>
                </c:pt>
                <c:pt idx="8">
                  <c:v>SM</c:v>
                </c:pt>
                <c:pt idx="12">
                  <c:v>IZM</c:v>
                </c:pt>
                <c:pt idx="16">
                  <c:v>LM</c:v>
                </c:pt>
                <c:pt idx="20">
                  <c:v>KM</c:v>
                </c:pt>
                <c:pt idx="24">
                  <c:v>VeM</c:v>
                </c:pt>
              </c:strCache>
            </c:strRef>
          </c:cat>
          <c:val>
            <c:numRef>
              <c:f>Grafiks!$C$3:$C$29</c:f>
              <c:numCache>
                <c:formatCode>#,##0</c:formatCode>
                <c:ptCount val="27"/>
                <c:pt idx="1">
                  <c:v>43658061</c:v>
                </c:pt>
                <c:pt idx="5">
                  <c:v>8776480</c:v>
                </c:pt>
                <c:pt idx="9">
                  <c:v>50289770</c:v>
                </c:pt>
                <c:pt idx="13">
                  <c:v>1775040</c:v>
                </c:pt>
                <c:pt idx="17">
                  <c:v>26574638.74377</c:v>
                </c:pt>
                <c:pt idx="21">
                  <c:v>11894225.629999999</c:v>
                </c:pt>
                <c:pt idx="25">
                  <c:v>11800000</c:v>
                </c:pt>
              </c:numCache>
            </c:numRef>
          </c:val>
        </c:ser>
        <c:ser>
          <c:idx val="2"/>
          <c:order val="2"/>
          <c:tx>
            <c:strRef>
              <c:f>Grafiks!$G$1</c:f>
              <c:strCache>
                <c:ptCount val="1"/>
                <c:pt idx="0">
                  <c:v>Prognoze lauztajiem līgumiem un neatbilstībām 09.05.2012.-31.12.2015. (publiskais fin.); Kopā 52 milj. latu</c:v>
                </c:pt>
              </c:strCache>
            </c:strRef>
          </c:tx>
          <c:spPr>
            <a:solidFill>
              <a:srgbClr val="80C535"/>
            </a:solidFill>
            <a:ln>
              <a:noFill/>
            </a:ln>
            <a:effectLst/>
          </c:spPr>
          <c:invertIfNegative val="0"/>
          <c:dLbls>
            <c:dLbl>
              <c:idx val="8"/>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22"/>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Grafiks!$A$3:$A$29</c:f>
              <c:strCache>
                <c:ptCount val="25"/>
                <c:pt idx="0">
                  <c:v>VARAM</c:v>
                </c:pt>
                <c:pt idx="4">
                  <c:v>EM</c:v>
                </c:pt>
                <c:pt idx="8">
                  <c:v>SM</c:v>
                </c:pt>
                <c:pt idx="12">
                  <c:v>IZM</c:v>
                </c:pt>
                <c:pt idx="16">
                  <c:v>LM</c:v>
                </c:pt>
                <c:pt idx="20">
                  <c:v>KM</c:v>
                </c:pt>
                <c:pt idx="24">
                  <c:v>VeM</c:v>
                </c:pt>
              </c:strCache>
            </c:strRef>
          </c:cat>
          <c:val>
            <c:numRef>
              <c:f>Grafiks!$G$3:$G$29</c:f>
              <c:numCache>
                <c:formatCode>#,##0</c:formatCode>
                <c:ptCount val="27"/>
                <c:pt idx="2">
                  <c:v>14785949.785991568</c:v>
                </c:pt>
                <c:pt idx="6">
                  <c:v>32269727.408574041</c:v>
                </c:pt>
                <c:pt idx="10">
                  <c:v>268448.37000000011</c:v>
                </c:pt>
                <c:pt idx="14">
                  <c:v>2493962.5767379175</c:v>
                </c:pt>
                <c:pt idx="18">
                  <c:v>428621.95277560357</c:v>
                </c:pt>
                <c:pt idx="22">
                  <c:v>312127.97340220003</c:v>
                </c:pt>
                <c:pt idx="26">
                  <c:v>1485730.9671041665</c:v>
                </c:pt>
              </c:numCache>
            </c:numRef>
          </c:val>
        </c:ser>
        <c:ser>
          <c:idx val="3"/>
          <c:order val="3"/>
          <c:tx>
            <c:strRef>
              <c:f>Grafiks!$E$1</c:f>
              <c:strCache>
                <c:ptCount val="1"/>
                <c:pt idx="0">
                  <c:v>AI mērķa fondu dalījumā maksājumiem FS neizpilde 2 mēnešus pēc kārtas (augusts, septembris); Kopā 28,4 milj. latu</c:v>
                </c:pt>
              </c:strCache>
            </c:strRef>
          </c:tx>
          <c:spPr>
            <a:solidFill>
              <a:srgbClr val="FBC605"/>
            </a:solidFill>
            <a:ln>
              <a:noFill/>
            </a:ln>
            <a:effectLst/>
          </c:spPr>
          <c:invertIfNegative val="0"/>
          <c:dLbls>
            <c:dLbl>
              <c:idx val="0"/>
              <c:layout>
                <c:manualLayout>
                  <c:x val="-4.87472219841015E-3"/>
                  <c:y val="-0.2212920100745719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3994430877664905E-2"/>
                  <c:y val="-1.2154745020375031E-16"/>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24"/>
              <c:delete val="1"/>
              <c:extLst>
                <c:ext xmlns:c15="http://schemas.microsoft.com/office/drawing/2012/chart" uri="{CE6537A1-D6FC-4f65-9D91-7224C49458BB}"/>
              </c:extLst>
            </c:dLbl>
            <c:spPr>
              <a:noFill/>
              <a:ln>
                <a:noFill/>
              </a:ln>
              <a:effectLst/>
            </c:spPr>
            <c:txPr>
              <a:bodyPr rot="0" spcFirstLastPara="1" vertOverflow="overflow" horzOverflow="overflow"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Grafiks!$A$3:$A$29</c:f>
              <c:strCache>
                <c:ptCount val="25"/>
                <c:pt idx="0">
                  <c:v>VARAM</c:v>
                </c:pt>
                <c:pt idx="4">
                  <c:v>EM</c:v>
                </c:pt>
                <c:pt idx="8">
                  <c:v>SM</c:v>
                </c:pt>
                <c:pt idx="12">
                  <c:v>IZM</c:v>
                </c:pt>
                <c:pt idx="16">
                  <c:v>LM</c:v>
                </c:pt>
                <c:pt idx="20">
                  <c:v>KM</c:v>
                </c:pt>
                <c:pt idx="24">
                  <c:v>VeM</c:v>
                </c:pt>
              </c:strCache>
            </c:strRef>
          </c:cat>
          <c:val>
            <c:numRef>
              <c:f>Grafiks!$E$3:$E$29</c:f>
              <c:numCache>
                <c:formatCode>#,##0</c:formatCode>
                <c:ptCount val="27"/>
                <c:pt idx="0">
                  <c:v>20149793.224285275</c:v>
                </c:pt>
                <c:pt idx="4">
                  <c:v>6781859.3200000003</c:v>
                </c:pt>
                <c:pt idx="8">
                  <c:v>0</c:v>
                </c:pt>
                <c:pt idx="12">
                  <c:v>0</c:v>
                </c:pt>
                <c:pt idx="16">
                  <c:v>0</c:v>
                </c:pt>
                <c:pt idx="20">
                  <c:v>1311046.7200000007</c:v>
                </c:pt>
                <c:pt idx="24">
                  <c:v>165779.07999999938</c:v>
                </c:pt>
              </c:numCache>
            </c:numRef>
          </c:val>
        </c:ser>
        <c:ser>
          <c:idx val="4"/>
          <c:order val="4"/>
          <c:tx>
            <c:strRef>
              <c:f>Grafiks!$D$1</c:f>
              <c:strCache>
                <c:ptCount val="1"/>
                <c:pt idx="0">
                  <c:v>Virssaistību līgumu plāna neizpilde; Kopā 18,3 milj. latu</c:v>
                </c:pt>
              </c:strCache>
            </c:strRef>
          </c:tx>
          <c:spPr>
            <a:solidFill>
              <a:schemeClr val="accent4">
                <a:lumMod val="60000"/>
                <a:lumOff val="40000"/>
              </a:schemeClr>
            </a:solidFill>
            <a:ln>
              <a:noFill/>
            </a:ln>
            <a:effectLst>
              <a:outerShdw blurRad="50800" dist="38100" dir="18900000" algn="bl" rotWithShape="0">
                <a:prstClr val="black">
                  <a:alpha val="0"/>
                </a:prstClr>
              </a:outerShdw>
            </a:effectLst>
          </c:spPr>
          <c:invertIfNegative val="0"/>
          <c:dLbls>
            <c:dLbl>
              <c:idx val="4"/>
              <c:layout>
                <c:manualLayout>
                  <c:x val="-2.7988861755329809E-2"/>
                  <c:y val="-1.6574843772310369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6"/>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4"/>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Grafiks!$A$3:$A$29</c:f>
              <c:strCache>
                <c:ptCount val="25"/>
                <c:pt idx="0">
                  <c:v>VARAM</c:v>
                </c:pt>
                <c:pt idx="4">
                  <c:v>EM</c:v>
                </c:pt>
                <c:pt idx="8">
                  <c:v>SM</c:v>
                </c:pt>
                <c:pt idx="12">
                  <c:v>IZM</c:v>
                </c:pt>
                <c:pt idx="16">
                  <c:v>LM</c:v>
                </c:pt>
                <c:pt idx="20">
                  <c:v>KM</c:v>
                </c:pt>
                <c:pt idx="24">
                  <c:v>VeM</c:v>
                </c:pt>
              </c:strCache>
            </c:strRef>
          </c:cat>
          <c:val>
            <c:numRef>
              <c:f>Grafiks!$D$3:$D$29</c:f>
              <c:numCache>
                <c:formatCode>#,##0</c:formatCode>
                <c:ptCount val="27"/>
                <c:pt idx="0">
                  <c:v>500000</c:v>
                </c:pt>
                <c:pt idx="4">
                  <c:v>6000000</c:v>
                </c:pt>
                <c:pt idx="8">
                  <c:v>6733191</c:v>
                </c:pt>
                <c:pt idx="12">
                  <c:v>3197606</c:v>
                </c:pt>
                <c:pt idx="16">
                  <c:v>0</c:v>
                </c:pt>
                <c:pt idx="20">
                  <c:v>0</c:v>
                </c:pt>
                <c:pt idx="24">
                  <c:v>0</c:v>
                </c:pt>
              </c:numCache>
            </c:numRef>
          </c:val>
        </c:ser>
        <c:dLbls>
          <c:showLegendKey val="0"/>
          <c:showVal val="0"/>
          <c:showCatName val="0"/>
          <c:showSerName val="0"/>
          <c:showPercent val="0"/>
          <c:showBubbleSize val="0"/>
        </c:dLbls>
        <c:gapWidth val="11"/>
        <c:overlap val="93"/>
        <c:axId val="124605952"/>
        <c:axId val="124607488"/>
      </c:barChart>
      <c:catAx>
        <c:axId val="124605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mn-cs"/>
              </a:defRPr>
            </a:pPr>
            <a:endParaRPr lang="lv-LV"/>
          </a:p>
        </c:txPr>
        <c:crossAx val="124607488"/>
        <c:crosses val="autoZero"/>
        <c:auto val="1"/>
        <c:lblAlgn val="ctr"/>
        <c:lblOffset val="150"/>
        <c:noMultiLvlLbl val="0"/>
      </c:catAx>
      <c:valAx>
        <c:axId val="124607488"/>
        <c:scaling>
          <c:orientation val="minMax"/>
        </c:scaling>
        <c:delete val="0"/>
        <c:axPos val="b"/>
        <c:majorGridlines>
          <c:spPr>
            <a:ln w="9525" cap="flat" cmpd="sng" algn="ctr">
              <a:gradFill>
                <a:gsLst>
                  <a:gs pos="0">
                    <a:schemeClr val="accent1">
                      <a:lumMod val="5000"/>
                      <a:lumOff val="95000"/>
                      <a:alpha val="98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24605952"/>
        <c:crosses val="autoZero"/>
        <c:crossBetween val="between"/>
        <c:dispUnits>
          <c:builtInUnit val="millions"/>
          <c:dispUnitsLbl>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dispUnitsLbl>
        </c:dispUnits>
      </c:valAx>
      <c:spPr>
        <a:noFill/>
        <a:ln>
          <a:noFill/>
        </a:ln>
        <a:effectLst/>
      </c:spPr>
    </c:plotArea>
    <c:legend>
      <c:legendPos val="b"/>
      <c:layout>
        <c:manualLayout>
          <c:xMode val="edge"/>
          <c:yMode val="edge"/>
          <c:x val="9.9297337041926899E-3"/>
          <c:y val="0.83101398629691092"/>
          <c:w val="0.7833529676482972"/>
          <c:h val="0.156276632315411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v-LV"/>
        </a:p>
      </c:txPr>
    </c:legend>
    <c:plotVisOnly val="1"/>
    <c:dispBlanksAs val="gap"/>
    <c:showDLblsOverMax val="0"/>
  </c:chart>
  <c:spPr>
    <a:solidFill>
      <a:schemeClr val="bg1"/>
    </a:solidFill>
    <a:ln w="9525" cap="flat" cmpd="sng" algn="ctr">
      <a:solidFill>
        <a:schemeClr val="accent1"/>
      </a:solidFill>
      <a:round/>
    </a:ln>
    <a:effectLst>
      <a:outerShdw blurRad="215900" dist="50800" dir="5400000" algn="ctr" rotWithShape="0">
        <a:srgbClr val="000000">
          <a:alpha val="99000"/>
        </a:srgbClr>
      </a:outerShdw>
      <a:softEdge rad="12700"/>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141790</xdr:colOff>
      <xdr:row>0</xdr:row>
      <xdr:rowOff>207816</xdr:rowOff>
    </xdr:from>
    <xdr:to>
      <xdr:col>22</xdr:col>
      <xdr:colOff>428624</xdr:colOff>
      <xdr:row>39</xdr:row>
      <xdr:rowOff>83342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EVIE&#352;ANAS%20UZRAUDZ&#298;BA/M&#275;r&#311;a%20profils/virssaist&#299;bas/Maksajumu_merku_neizpildes_uz_30.09._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ministries"/>
      <sheetName val="Mērķi_apst_MK_120313"/>
      <sheetName val="Sheet1"/>
      <sheetName val="Sheet3"/>
      <sheetName val="Sheet4"/>
      <sheetName val="IZM"/>
      <sheetName val="LM"/>
      <sheetName val="EM"/>
      <sheetName val="FM"/>
      <sheetName val="KM"/>
      <sheetName val="SaM"/>
      <sheetName val="VKanc"/>
      <sheetName val="VM"/>
      <sheetName val="VARAM"/>
      <sheetName val="Kopā"/>
    </sheetNames>
    <sheetDataSet>
      <sheetData sheetId="0"/>
      <sheetData sheetId="1">
        <row r="20">
          <cell r="K20">
            <v>21618400.82</v>
          </cell>
          <cell r="R20">
            <v>165865.32</v>
          </cell>
          <cell r="S20">
            <v>22920800</v>
          </cell>
          <cell r="Y20">
            <v>699880.32000000007</v>
          </cell>
          <cell r="Z20">
            <v>22926139.25</v>
          </cell>
          <cell r="AF20">
            <v>1138003.32</v>
          </cell>
          <cell r="AG20">
            <v>23598063.530000001</v>
          </cell>
          <cell r="AM20">
            <v>1811436.32</v>
          </cell>
          <cell r="AN20">
            <v>23763342.399999999</v>
          </cell>
          <cell r="AT20">
            <v>2338141.3200000003</v>
          </cell>
          <cell r="AU20">
            <v>24085662.609999999</v>
          </cell>
          <cell r="BA20">
            <v>2901384.3200000003</v>
          </cell>
          <cell r="BB20">
            <v>24749520.130000003</v>
          </cell>
          <cell r="BH20">
            <v>3395306.3200000003</v>
          </cell>
          <cell r="BI20">
            <v>24868570.990000002</v>
          </cell>
          <cell r="BO20">
            <v>3765833.3200000003</v>
          </cell>
          <cell r="BP20">
            <v>25097554.030000001</v>
          </cell>
          <cell r="BV20">
            <v>4350159.32</v>
          </cell>
          <cell r="BY20">
            <v>4795498.32</v>
          </cell>
          <cell r="CB20">
            <v>6332704.6529999999</v>
          </cell>
        </row>
        <row r="26">
          <cell r="K26">
            <v>9567598.8599999994</v>
          </cell>
          <cell r="R26">
            <v>346237.69</v>
          </cell>
          <cell r="S26">
            <v>9867819.5599999987</v>
          </cell>
          <cell r="Y26">
            <v>521461.18</v>
          </cell>
          <cell r="Z26">
            <v>9948791.4699999988</v>
          </cell>
          <cell r="AF26">
            <v>522157.7</v>
          </cell>
          <cell r="AG26">
            <v>9948791.4699999988</v>
          </cell>
          <cell r="AM26">
            <v>969092.92999999993</v>
          </cell>
          <cell r="AN26">
            <v>10162501.449999999</v>
          </cell>
          <cell r="AT26">
            <v>1166186.18</v>
          </cell>
          <cell r="AU26">
            <v>10315447.119999999</v>
          </cell>
          <cell r="BA26">
            <v>1166186.18</v>
          </cell>
          <cell r="BB26">
            <v>10318262.52</v>
          </cell>
          <cell r="BH26">
            <v>1696201.5999999999</v>
          </cell>
          <cell r="BI26">
            <v>10754750.680000002</v>
          </cell>
          <cell r="BO26">
            <v>1897588.1199999999</v>
          </cell>
          <cell r="BP26">
            <v>10873592.930000002</v>
          </cell>
          <cell r="BV26">
            <v>1898140.24</v>
          </cell>
          <cell r="BY26">
            <v>2477339.83</v>
          </cell>
          <cell r="CB26">
            <v>2677447.8499999996</v>
          </cell>
        </row>
        <row r="29">
          <cell r="K29">
            <v>129914895.48000002</v>
          </cell>
          <cell r="R29">
            <v>1623709</v>
          </cell>
          <cell r="S29">
            <v>131798247.98</v>
          </cell>
          <cell r="Y29">
            <v>1896020</v>
          </cell>
          <cell r="Z29">
            <v>132140534.33000001</v>
          </cell>
          <cell r="AF29">
            <v>3312560</v>
          </cell>
          <cell r="AG29">
            <v>135751697.49000001</v>
          </cell>
          <cell r="AM29">
            <v>4559814</v>
          </cell>
          <cell r="AN29">
            <v>138213499.19000003</v>
          </cell>
          <cell r="AT29">
            <v>5029906</v>
          </cell>
          <cell r="AU29">
            <v>139311688.42000002</v>
          </cell>
          <cell r="BA29">
            <v>7267328</v>
          </cell>
          <cell r="BB29">
            <v>139817698.86999997</v>
          </cell>
          <cell r="BH29">
            <v>8532619</v>
          </cell>
          <cell r="BI29">
            <v>140488637.81999999</v>
          </cell>
          <cell r="BO29">
            <v>9044877</v>
          </cell>
          <cell r="BP29">
            <v>142231409.08000001</v>
          </cell>
          <cell r="BV29">
            <v>9848975</v>
          </cell>
          <cell r="BY29">
            <v>11582429</v>
          </cell>
          <cell r="CB29">
            <v>15421295</v>
          </cell>
        </row>
        <row r="53">
          <cell r="K53">
            <v>140361404.56999999</v>
          </cell>
          <cell r="R53">
            <v>6236852</v>
          </cell>
          <cell r="S53">
            <v>147175304.11000001</v>
          </cell>
          <cell r="Y53">
            <v>7846068</v>
          </cell>
          <cell r="Z53">
            <v>148734495.05000001</v>
          </cell>
          <cell r="AF53">
            <v>10010923</v>
          </cell>
          <cell r="AG53">
            <v>150612661.16999999</v>
          </cell>
          <cell r="AM53">
            <v>12491659</v>
          </cell>
          <cell r="AN53">
            <v>152990921.42000005</v>
          </cell>
          <cell r="AT53">
            <v>14904342</v>
          </cell>
          <cell r="AU53">
            <v>155506342.89000002</v>
          </cell>
          <cell r="BA53">
            <v>17313795</v>
          </cell>
          <cell r="BB53">
            <v>158185046.44</v>
          </cell>
          <cell r="BH53">
            <v>19678760</v>
          </cell>
          <cell r="BI53">
            <v>160989856.86999997</v>
          </cell>
          <cell r="BO53">
            <v>22212951</v>
          </cell>
          <cell r="BP53">
            <v>163104061.51999998</v>
          </cell>
          <cell r="BV53">
            <v>24347162</v>
          </cell>
          <cell r="BY53">
            <v>26592010</v>
          </cell>
          <cell r="CB53">
            <v>29186115</v>
          </cell>
        </row>
        <row r="69">
          <cell r="K69">
            <v>4108704.98</v>
          </cell>
          <cell r="R69">
            <v>193858.71</v>
          </cell>
          <cell r="S69">
            <v>4210465.41</v>
          </cell>
          <cell r="Y69">
            <v>315180.92000000004</v>
          </cell>
          <cell r="Z69">
            <v>4259693.83</v>
          </cell>
          <cell r="AF69">
            <v>348409.64</v>
          </cell>
          <cell r="AG69">
            <v>4284362.46</v>
          </cell>
          <cell r="AM69">
            <v>447804.3</v>
          </cell>
          <cell r="AN69">
            <v>4321841.25</v>
          </cell>
          <cell r="AT69">
            <v>495532.47</v>
          </cell>
          <cell r="AU69">
            <v>4356357.9400000004</v>
          </cell>
          <cell r="BA69">
            <v>512206.43999999994</v>
          </cell>
          <cell r="BB69">
            <v>4357152.12</v>
          </cell>
          <cell r="BH69">
            <v>564335.99</v>
          </cell>
          <cell r="BI69">
            <v>4370187.46</v>
          </cell>
          <cell r="BO69">
            <v>638621.44999999995</v>
          </cell>
          <cell r="BP69">
            <v>4394916.18</v>
          </cell>
          <cell r="BV69">
            <v>646856.35999999987</v>
          </cell>
          <cell r="BY69">
            <v>669121.35999999987</v>
          </cell>
          <cell r="CB69">
            <v>687224.55999999994</v>
          </cell>
        </row>
        <row r="72">
          <cell r="K72">
            <v>6549643.6299999999</v>
          </cell>
          <cell r="R72">
            <v>946225.19</v>
          </cell>
          <cell r="S72">
            <v>7496756.3399999999</v>
          </cell>
          <cell r="Y72">
            <v>946225.19</v>
          </cell>
          <cell r="Z72">
            <v>7510651.1500000004</v>
          </cell>
          <cell r="AF72">
            <v>946225.19</v>
          </cell>
          <cell r="AG72">
            <v>7510651.1500000004</v>
          </cell>
          <cell r="AM72">
            <v>1001525.9199999999</v>
          </cell>
          <cell r="AN72">
            <v>7510651.1500000004</v>
          </cell>
          <cell r="AT72">
            <v>1001525.9199999999</v>
          </cell>
          <cell r="AU72">
            <v>7510651.1500000004</v>
          </cell>
          <cell r="BA72">
            <v>1001525.9199999999</v>
          </cell>
          <cell r="BB72">
            <v>7510651.1500000004</v>
          </cell>
          <cell r="BH72">
            <v>1309146.1399999999</v>
          </cell>
          <cell r="BI72">
            <v>7693010.6900000004</v>
          </cell>
          <cell r="BO72">
            <v>1309146.1399999999</v>
          </cell>
          <cell r="BP72">
            <v>7693010.6900000004</v>
          </cell>
          <cell r="BV72">
            <v>1309146.1399999999</v>
          </cell>
          <cell r="BY72">
            <v>1488837.7699999998</v>
          </cell>
          <cell r="CB72">
            <v>1488837.7699999998</v>
          </cell>
        </row>
        <row r="76">
          <cell r="K76">
            <v>5502817.4700000007</v>
          </cell>
          <cell r="R76">
            <v>264623.8235</v>
          </cell>
          <cell r="S76">
            <v>5698441.1399999997</v>
          </cell>
          <cell r="Y76">
            <v>402286.6985</v>
          </cell>
          <cell r="Z76">
            <v>5910148.1199999992</v>
          </cell>
          <cell r="AF76">
            <v>719511.64800000004</v>
          </cell>
          <cell r="AG76">
            <v>6009796.71</v>
          </cell>
          <cell r="AM76">
            <v>866089.99249999993</v>
          </cell>
          <cell r="AN76">
            <v>6163236.7400000002</v>
          </cell>
          <cell r="AT76">
            <v>1099488.8160000001</v>
          </cell>
          <cell r="AU76">
            <v>6247496.3500000006</v>
          </cell>
          <cell r="BA76">
            <v>1203795.7365000001</v>
          </cell>
          <cell r="BB76">
            <v>6355576.2200000007</v>
          </cell>
          <cell r="BH76">
            <v>1396897.4170000001</v>
          </cell>
          <cell r="BI76">
            <v>6483082.79</v>
          </cell>
          <cell r="BO76">
            <v>1491376.2975000001</v>
          </cell>
          <cell r="BP76">
            <v>6547714.0800000001</v>
          </cell>
          <cell r="BV76">
            <v>1654821.2094999999</v>
          </cell>
          <cell r="BY76">
            <v>1821652.4509999999</v>
          </cell>
          <cell r="CB76">
            <v>1952665.6159999999</v>
          </cell>
        </row>
        <row r="86">
          <cell r="K86">
            <v>214543347.81413597</v>
          </cell>
          <cell r="R86">
            <v>6918053.1500000004</v>
          </cell>
          <cell r="S86">
            <v>245768991.72999996</v>
          </cell>
          <cell r="Y86">
            <v>8722077.5600000005</v>
          </cell>
          <cell r="Z86">
            <v>248154411.97999996</v>
          </cell>
          <cell r="AF86">
            <v>12997180.140000001</v>
          </cell>
          <cell r="AG86">
            <v>251339984.47</v>
          </cell>
          <cell r="AM86">
            <v>17476382.640000001</v>
          </cell>
          <cell r="AN86">
            <v>254130874.58000001</v>
          </cell>
          <cell r="AT86">
            <v>22031550.170000002</v>
          </cell>
          <cell r="AU86">
            <v>258942869.28281599</v>
          </cell>
          <cell r="BA86">
            <v>25537959.870000001</v>
          </cell>
          <cell r="BB86">
            <v>236426069.44413602</v>
          </cell>
          <cell r="BH86">
            <v>28288559.27</v>
          </cell>
          <cell r="BI86">
            <v>237642141.934136</v>
          </cell>
          <cell r="BO86">
            <v>30969984.710000001</v>
          </cell>
          <cell r="BP86">
            <v>246633170.54413599</v>
          </cell>
          <cell r="BV86">
            <v>36097286.710000001</v>
          </cell>
          <cell r="BY86">
            <v>39883779.109999999</v>
          </cell>
          <cell r="CB86">
            <v>41103211.300300002</v>
          </cell>
        </row>
        <row r="117">
          <cell r="K117">
            <v>26527824.710000001</v>
          </cell>
          <cell r="R117">
            <v>439958.82999999996</v>
          </cell>
          <cell r="S117">
            <v>26974749.800000001</v>
          </cell>
          <cell r="Y117">
            <v>1869574.2599999998</v>
          </cell>
          <cell r="Z117">
            <v>28585779.18</v>
          </cell>
          <cell r="AF117">
            <v>1982623.27</v>
          </cell>
          <cell r="AG117">
            <v>28585779.18</v>
          </cell>
          <cell r="AM117">
            <v>2280170.4500000002</v>
          </cell>
          <cell r="AN117">
            <v>28950142.880000003</v>
          </cell>
          <cell r="AT117">
            <v>3745492.38</v>
          </cell>
          <cell r="AU117">
            <v>30360207.579999998</v>
          </cell>
          <cell r="BA117">
            <v>3745492.38</v>
          </cell>
          <cell r="BB117">
            <v>30473556.280000001</v>
          </cell>
          <cell r="BH117">
            <v>4201735.0199999996</v>
          </cell>
          <cell r="BI117">
            <v>31208234.02</v>
          </cell>
          <cell r="BO117">
            <v>5707610.9699999997</v>
          </cell>
          <cell r="BP117">
            <v>32145547.009999998</v>
          </cell>
          <cell r="BV117">
            <v>5797223.75</v>
          </cell>
          <cell r="BY117">
            <v>6196425.2800000003</v>
          </cell>
          <cell r="CB117">
            <v>7806244.9000000004</v>
          </cell>
        </row>
        <row r="122">
          <cell r="K122">
            <v>167344128.54000002</v>
          </cell>
          <cell r="R122">
            <v>3513660.0240000002</v>
          </cell>
          <cell r="S122">
            <v>171213468.69999999</v>
          </cell>
          <cell r="Y122">
            <v>6650556.6740000006</v>
          </cell>
          <cell r="Z122">
            <v>173239733.75</v>
          </cell>
          <cell r="AF122">
            <v>7978227.6740000006</v>
          </cell>
          <cell r="AG122">
            <v>175617865</v>
          </cell>
          <cell r="AM122">
            <v>14241309.674000001</v>
          </cell>
          <cell r="AN122">
            <v>179009622.78999996</v>
          </cell>
          <cell r="AT122">
            <v>17217360.674000002</v>
          </cell>
          <cell r="AU122">
            <v>182348973.09999999</v>
          </cell>
          <cell r="BA122">
            <v>20374938.674000002</v>
          </cell>
          <cell r="BB122">
            <v>185884179.44</v>
          </cell>
          <cell r="BH122">
            <v>21935753.864</v>
          </cell>
          <cell r="BI122">
            <v>186240273.09999996</v>
          </cell>
          <cell r="BO122">
            <v>27111435.864</v>
          </cell>
          <cell r="BP122">
            <v>191810678.57999998</v>
          </cell>
          <cell r="BV122">
            <v>27604430.864</v>
          </cell>
          <cell r="BY122">
            <v>30043489.864</v>
          </cell>
          <cell r="CB122">
            <v>37165759.864</v>
          </cell>
        </row>
        <row r="138">
          <cell r="K138">
            <v>11695311.630000001</v>
          </cell>
          <cell r="R138">
            <v>858301.42</v>
          </cell>
          <cell r="S138">
            <v>12461663.940000001</v>
          </cell>
          <cell r="Y138">
            <v>1077502.42</v>
          </cell>
          <cell r="Z138">
            <v>12604965.609999999</v>
          </cell>
          <cell r="AF138">
            <v>3068243.23</v>
          </cell>
          <cell r="AG138">
            <v>14287514.849999998</v>
          </cell>
          <cell r="AM138">
            <v>3437587.23</v>
          </cell>
          <cell r="AN138">
            <v>14468081.16</v>
          </cell>
          <cell r="AT138">
            <v>3889058.23</v>
          </cell>
          <cell r="AU138">
            <v>14650791.209999999</v>
          </cell>
          <cell r="BA138">
            <v>4564439.2300000004</v>
          </cell>
          <cell r="BB138">
            <v>14966553.75</v>
          </cell>
          <cell r="BH138">
            <v>4969663.2300000004</v>
          </cell>
          <cell r="BI138">
            <v>15444806.520000001</v>
          </cell>
          <cell r="BO138">
            <v>5097494.2300000004</v>
          </cell>
          <cell r="BP138">
            <v>15481759.140000001</v>
          </cell>
          <cell r="BV138">
            <v>6196245.2300000004</v>
          </cell>
          <cell r="BY138">
            <v>6805330.2300000004</v>
          </cell>
          <cell r="CB138">
            <v>6807205.2300000004</v>
          </cell>
        </row>
        <row r="142">
          <cell r="K142">
            <v>8589644.7899999991</v>
          </cell>
          <cell r="R142">
            <v>0</v>
          </cell>
          <cell r="S142">
            <v>8589644.7899999991</v>
          </cell>
          <cell r="Y142">
            <v>0</v>
          </cell>
          <cell r="Z142">
            <v>8589644.7899999991</v>
          </cell>
          <cell r="AF142">
            <v>87472</v>
          </cell>
          <cell r="AG142">
            <v>8707393.0500000007</v>
          </cell>
          <cell r="AM142">
            <v>93117.49</v>
          </cell>
          <cell r="AN142">
            <v>8707393.0500000007</v>
          </cell>
          <cell r="AT142">
            <v>93117.49</v>
          </cell>
          <cell r="AU142">
            <v>8764801.9299999997</v>
          </cell>
          <cell r="BA142">
            <v>93117.49</v>
          </cell>
          <cell r="BB142">
            <v>8764801.9299999997</v>
          </cell>
          <cell r="BH142">
            <v>93117.49</v>
          </cell>
          <cell r="BI142">
            <v>8764801.9299999997</v>
          </cell>
          <cell r="BO142">
            <v>93117.49</v>
          </cell>
          <cell r="BP142">
            <v>8764801.9299999997</v>
          </cell>
          <cell r="BV142">
            <v>127117.49</v>
          </cell>
          <cell r="BY142">
            <v>161117.49</v>
          </cell>
          <cell r="CB142">
            <v>229117.49</v>
          </cell>
        </row>
        <row r="149">
          <cell r="K149">
            <v>113607136.52</v>
          </cell>
          <cell r="R149">
            <v>4663297.3499999996</v>
          </cell>
          <cell r="S149">
            <v>114421394.29000001</v>
          </cell>
          <cell r="Y149">
            <v>18058799.32</v>
          </cell>
          <cell r="Z149">
            <v>122356579.19</v>
          </cell>
          <cell r="AF149">
            <v>18934317.990000002</v>
          </cell>
          <cell r="AG149">
            <v>130047067.81000002</v>
          </cell>
          <cell r="AM149">
            <v>25618655.240000002</v>
          </cell>
          <cell r="AN149">
            <v>138584903.81</v>
          </cell>
          <cell r="AT149">
            <v>30317038.976</v>
          </cell>
          <cell r="AU149">
            <v>144556639.28999999</v>
          </cell>
          <cell r="BA149">
            <v>32855097.205999997</v>
          </cell>
          <cell r="BB149">
            <v>149333328.61000004</v>
          </cell>
          <cell r="BH149">
            <v>36989502.665999994</v>
          </cell>
          <cell r="BI149">
            <v>151266118.43000001</v>
          </cell>
          <cell r="BO149">
            <v>43215518.176000006</v>
          </cell>
          <cell r="BP149">
            <v>157118585.53</v>
          </cell>
          <cell r="BV149">
            <v>43258565.816000007</v>
          </cell>
          <cell r="BY149">
            <v>48981144.816000007</v>
          </cell>
          <cell r="CB149">
            <v>58926214.816000007</v>
          </cell>
        </row>
        <row r="159">
          <cell r="K159">
            <v>276114680.68999994</v>
          </cell>
          <cell r="R159">
            <v>9175497.1400000006</v>
          </cell>
          <cell r="S159">
            <v>282319657.76999998</v>
          </cell>
          <cell r="Y159">
            <v>14513740.254000003</v>
          </cell>
          <cell r="Z159">
            <v>285385186.44999999</v>
          </cell>
          <cell r="AF159">
            <v>16054097.664000001</v>
          </cell>
          <cell r="AG159">
            <v>288129024.14999998</v>
          </cell>
          <cell r="AM159">
            <v>21734450.524</v>
          </cell>
          <cell r="AN159">
            <v>296575063.34000003</v>
          </cell>
          <cell r="AT159">
            <v>25623616.643999998</v>
          </cell>
          <cell r="AU159">
            <v>309029804.56000006</v>
          </cell>
          <cell r="BA159">
            <v>35417396.544000007</v>
          </cell>
          <cell r="BB159">
            <v>312418708.47999996</v>
          </cell>
          <cell r="BH159">
            <v>41277611.174000002</v>
          </cell>
          <cell r="BI159">
            <v>320606037.59000003</v>
          </cell>
          <cell r="BO159">
            <v>42910097.294</v>
          </cell>
          <cell r="BP159">
            <v>328032460.27999997</v>
          </cell>
          <cell r="BV159">
            <v>55935085.147999994</v>
          </cell>
          <cell r="BY159">
            <v>69262793.928000003</v>
          </cell>
          <cell r="CB159">
            <v>78250995.230000004</v>
          </cell>
        </row>
        <row r="172">
          <cell r="K172">
            <v>91451099.840000004</v>
          </cell>
          <cell r="R172">
            <v>2555898.0699999998</v>
          </cell>
          <cell r="S172">
            <v>94294642.560000002</v>
          </cell>
          <cell r="Y172">
            <v>2988958.81</v>
          </cell>
          <cell r="Z172">
            <v>96115011.039999992</v>
          </cell>
          <cell r="AF172">
            <v>5326700.0999999996</v>
          </cell>
          <cell r="AG172">
            <v>96572190.659999996</v>
          </cell>
          <cell r="AM172">
            <v>6657646.6199999992</v>
          </cell>
          <cell r="AN172">
            <v>99525669.780000001</v>
          </cell>
          <cell r="AT172">
            <v>7977847.75</v>
          </cell>
          <cell r="AU172">
            <v>100163959.87</v>
          </cell>
          <cell r="BA172">
            <v>9307901</v>
          </cell>
          <cell r="BB172">
            <v>101567240.78</v>
          </cell>
          <cell r="BH172">
            <v>11735832.91</v>
          </cell>
          <cell r="BI172">
            <v>102628075.23</v>
          </cell>
          <cell r="BO172">
            <v>12875135.489999998</v>
          </cell>
          <cell r="BP172">
            <v>106597395.93000001</v>
          </cell>
          <cell r="BV172">
            <v>14806603.279999999</v>
          </cell>
          <cell r="BY172">
            <v>18890639.34</v>
          </cell>
          <cell r="CB172">
            <v>22345855.609999999</v>
          </cell>
        </row>
        <row r="179">
          <cell r="K179">
            <v>22501090.289999999</v>
          </cell>
          <cell r="R179">
            <v>1641104.49</v>
          </cell>
          <cell r="S179">
            <v>23533365.84</v>
          </cell>
          <cell r="Y179">
            <v>1985393</v>
          </cell>
          <cell r="Z179">
            <v>23684384.939999998</v>
          </cell>
          <cell r="AF179">
            <v>4715738</v>
          </cell>
          <cell r="AG179">
            <v>24299307.310000002</v>
          </cell>
          <cell r="AM179">
            <v>6347969</v>
          </cell>
          <cell r="AN179">
            <v>25819538.369999997</v>
          </cell>
          <cell r="AT179">
            <v>7291797</v>
          </cell>
          <cell r="AU179">
            <v>28893935.809999999</v>
          </cell>
          <cell r="BA179">
            <v>12426351</v>
          </cell>
          <cell r="BB179">
            <v>30438752.469999999</v>
          </cell>
          <cell r="BH179">
            <v>13250239</v>
          </cell>
          <cell r="BI179">
            <v>30438752.469999999</v>
          </cell>
          <cell r="BO179">
            <v>15468370</v>
          </cell>
          <cell r="BP179">
            <v>31187600.969999999</v>
          </cell>
          <cell r="BV179">
            <v>16916145</v>
          </cell>
          <cell r="BY179">
            <v>17703963</v>
          </cell>
          <cell r="CB179">
            <v>19096369.161399998</v>
          </cell>
        </row>
        <row r="185">
          <cell r="K185">
            <v>2870628.5</v>
          </cell>
          <cell r="R185">
            <v>69381.48</v>
          </cell>
          <cell r="S185">
            <v>2954519.33</v>
          </cell>
          <cell r="Y185">
            <v>158226.18</v>
          </cell>
          <cell r="Z185">
            <v>3290678.54</v>
          </cell>
          <cell r="AF185">
            <v>206127.38</v>
          </cell>
          <cell r="AG185">
            <v>3290678.54</v>
          </cell>
          <cell r="AM185">
            <v>238558.63</v>
          </cell>
          <cell r="AN185">
            <v>3385224.5300000003</v>
          </cell>
          <cell r="AT185">
            <v>384936.03</v>
          </cell>
          <cell r="AU185">
            <v>3553937.99</v>
          </cell>
          <cell r="BA185">
            <v>384936.03</v>
          </cell>
          <cell r="BB185">
            <v>3558079.69</v>
          </cell>
          <cell r="BH185">
            <v>461618.51</v>
          </cell>
          <cell r="BI185">
            <v>3667534.75</v>
          </cell>
          <cell r="BO185">
            <v>574621.77</v>
          </cell>
          <cell r="BP185">
            <v>3733859.44</v>
          </cell>
          <cell r="BV185">
            <v>612592.55000000005</v>
          </cell>
          <cell r="BY185">
            <v>654603.1</v>
          </cell>
          <cell r="CB185">
            <v>804255.54</v>
          </cell>
        </row>
        <row r="187">
          <cell r="K187">
            <v>240189683.67000002</v>
          </cell>
          <cell r="R187">
            <v>12354111</v>
          </cell>
          <cell r="S187">
            <v>263023342.5</v>
          </cell>
          <cell r="Y187">
            <v>15794480</v>
          </cell>
          <cell r="Z187">
            <v>248719261.74000001</v>
          </cell>
          <cell r="AF187">
            <v>23715841</v>
          </cell>
          <cell r="AG187">
            <v>291637793.38</v>
          </cell>
          <cell r="AM187">
            <v>28399908</v>
          </cell>
          <cell r="AN187">
            <v>292687381.98000002</v>
          </cell>
          <cell r="AT187">
            <v>36570272</v>
          </cell>
          <cell r="AU187">
            <v>284716507.60000002</v>
          </cell>
          <cell r="BA187">
            <v>44691079</v>
          </cell>
          <cell r="BB187">
            <v>290459751.89000005</v>
          </cell>
          <cell r="BH187">
            <v>58578656</v>
          </cell>
          <cell r="BI187">
            <v>300050315.48000002</v>
          </cell>
          <cell r="BO187">
            <v>63770773</v>
          </cell>
          <cell r="BP187">
            <v>306597696.70000005</v>
          </cell>
          <cell r="BV187">
            <v>88609592</v>
          </cell>
          <cell r="BY187">
            <v>109726874</v>
          </cell>
          <cell r="CB187">
            <v>110661781</v>
          </cell>
        </row>
        <row r="194">
          <cell r="K194">
            <v>271201334.31</v>
          </cell>
          <cell r="R194">
            <v>1282769.8</v>
          </cell>
          <cell r="S194">
            <v>272236674.06</v>
          </cell>
          <cell r="Y194">
            <v>2605505.33</v>
          </cell>
          <cell r="Z194">
            <v>275154457.98000002</v>
          </cell>
          <cell r="AF194">
            <v>5331966.3030219059</v>
          </cell>
          <cell r="AG194">
            <v>275627166.54000002</v>
          </cell>
          <cell r="AM194">
            <v>13084248.253021905</v>
          </cell>
          <cell r="AN194">
            <v>277413569.47000003</v>
          </cell>
          <cell r="AT194">
            <v>17859587.813021902</v>
          </cell>
          <cell r="AU194">
            <v>279633305.73000002</v>
          </cell>
          <cell r="BA194">
            <v>24059124.214285269</v>
          </cell>
          <cell r="BB194">
            <v>280408092.75</v>
          </cell>
          <cell r="BH194">
            <v>30555356.594285272</v>
          </cell>
          <cell r="BI194">
            <v>282302528.73000002</v>
          </cell>
          <cell r="BO194">
            <v>33600541.914285272</v>
          </cell>
          <cell r="BP194">
            <v>284652083</v>
          </cell>
          <cell r="BV194">
            <v>41605572.696973652</v>
          </cell>
          <cell r="BY194">
            <v>48800381.646973655</v>
          </cell>
          <cell r="CB194">
            <v>52662918.421160258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rturs.Sluburs@fm.gov.lv"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305"/>
  <sheetViews>
    <sheetView view="pageBreakPreview" zoomScale="70" zoomScaleNormal="50" zoomScaleSheetLayoutView="70" workbookViewId="0">
      <pane xSplit="3" ySplit="6" topLeftCell="D7" activePane="bottomRight" state="frozen"/>
      <selection pane="topRight" activeCell="D1" sqref="D1"/>
      <selection pane="bottomLeft" activeCell="A7" sqref="A7"/>
      <selection pane="bottomRight" activeCell="AQ14" sqref="AQ14"/>
    </sheetView>
  </sheetViews>
  <sheetFormatPr defaultColWidth="9.140625" defaultRowHeight="17.25" outlineLevelCol="1"/>
  <cols>
    <col min="1" max="1" width="13" style="42" customWidth="1"/>
    <col min="2" max="2" width="31.140625" style="43" customWidth="1"/>
    <col min="3" max="3" width="12.7109375" style="42" customWidth="1"/>
    <col min="4" max="4" width="12.42578125" style="42" customWidth="1"/>
    <col min="5" max="5" width="18.28515625" style="42" hidden="1" customWidth="1"/>
    <col min="6" max="6" width="23.140625" style="42" hidden="1" customWidth="1"/>
    <col min="7" max="7" width="17.140625" style="42" hidden="1" customWidth="1"/>
    <col min="8" max="8" width="21" style="42" hidden="1" customWidth="1"/>
    <col min="9" max="9" width="27.85546875" style="42" hidden="1" customWidth="1"/>
    <col min="10" max="10" width="18" style="48" customWidth="1"/>
    <col min="11" max="11" width="17.28515625" style="48" customWidth="1"/>
    <col min="12" max="15" width="17.7109375" style="48" hidden="1" customWidth="1"/>
    <col min="16" max="16" width="18.85546875" style="42" hidden="1" customWidth="1"/>
    <col min="17" max="17" width="16.42578125" style="42" hidden="1" customWidth="1"/>
    <col min="18" max="18" width="17.85546875" style="42" hidden="1" customWidth="1"/>
    <col min="19" max="19" width="14.140625" style="42" hidden="1" customWidth="1"/>
    <col min="20" max="20" width="22.140625" style="42" hidden="1" customWidth="1"/>
    <col min="21" max="25" width="21.42578125" style="42" hidden="1" customWidth="1"/>
    <col min="26" max="29" width="19.85546875" style="42" hidden="1" customWidth="1"/>
    <col min="30" max="30" width="15.85546875" style="42" hidden="1" customWidth="1"/>
    <col min="31" max="31" width="17.85546875" style="42" hidden="1" customWidth="1"/>
    <col min="32" max="32" width="20.7109375" style="42" hidden="1" customWidth="1"/>
    <col min="33" max="33" width="17.85546875" style="42" hidden="1" customWidth="1"/>
    <col min="34" max="34" width="42.85546875" style="42" hidden="1" customWidth="1"/>
    <col min="35" max="35" width="23" style="46" hidden="1" customWidth="1"/>
    <col min="36" max="36" width="17" style="42" customWidth="1"/>
    <col min="37" max="37" width="16.28515625" style="42" hidden="1" customWidth="1"/>
    <col min="38" max="38" width="16.7109375" style="42" hidden="1" customWidth="1"/>
    <col min="39" max="39" width="13.140625" style="42" hidden="1" customWidth="1"/>
    <col min="40" max="40" width="12.140625" style="42" hidden="1" customWidth="1"/>
    <col min="41" max="41" width="19" style="42" hidden="1" customWidth="1" outlineLevel="1"/>
    <col min="42" max="42" width="21.85546875" style="271" hidden="1" customWidth="1" collapsed="1"/>
    <col min="43" max="44" width="21.28515625" style="271" customWidth="1"/>
    <col min="45" max="45" width="20.140625" style="271" hidden="1" customWidth="1"/>
    <col min="46" max="46" width="44.85546875" style="271" customWidth="1" collapsed="1"/>
    <col min="47" max="47" width="25.42578125" style="42" customWidth="1"/>
    <col min="48" max="48" width="16.7109375" style="42" customWidth="1"/>
    <col min="49" max="49" width="18.5703125" style="243" customWidth="1"/>
    <col min="50" max="50" width="17" style="243" bestFit="1" customWidth="1"/>
    <col min="51" max="51" width="18" style="243" customWidth="1"/>
    <col min="52" max="16384" width="9.140625" style="42"/>
  </cols>
  <sheetData>
    <row r="1" spans="1:51" ht="17.25" customHeight="1">
      <c r="A1" s="298" t="s">
        <v>697</v>
      </c>
      <c r="B1" s="298"/>
      <c r="C1" s="298"/>
      <c r="D1" s="298"/>
      <c r="E1" s="294"/>
      <c r="F1" s="294"/>
      <c r="G1" s="294"/>
      <c r="H1" s="294"/>
      <c r="I1" s="294"/>
      <c r="J1" s="298"/>
      <c r="K1" s="298"/>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8"/>
      <c r="AK1" s="298"/>
      <c r="AL1" s="298"/>
      <c r="AM1" s="298"/>
      <c r="AN1" s="294"/>
      <c r="AO1" s="298"/>
      <c r="AP1" s="299"/>
      <c r="AQ1" s="299"/>
      <c r="AR1" s="299"/>
      <c r="AS1" s="299"/>
      <c r="AT1" s="299"/>
      <c r="AU1" s="315"/>
      <c r="AV1" s="246"/>
    </row>
    <row r="2" spans="1:51" ht="17.25" customHeight="1" thickBot="1">
      <c r="A2" s="300"/>
      <c r="B2" s="300"/>
      <c r="C2" s="300"/>
      <c r="D2" s="300"/>
      <c r="E2" s="292"/>
      <c r="F2" s="292"/>
      <c r="G2" s="292"/>
      <c r="H2" s="292"/>
      <c r="I2" s="292"/>
      <c r="J2" s="300"/>
      <c r="K2" s="300"/>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300"/>
      <c r="AK2" s="300"/>
      <c r="AL2" s="300"/>
      <c r="AM2" s="300"/>
      <c r="AN2" s="292"/>
      <c r="AO2" s="300"/>
      <c r="AP2" s="300"/>
      <c r="AQ2" s="300"/>
      <c r="AR2" s="300"/>
      <c r="AS2" s="300"/>
      <c r="AT2" s="300"/>
      <c r="AU2" s="316"/>
      <c r="AV2" s="247"/>
    </row>
    <row r="3" spans="1:51" ht="17.25" customHeight="1" thickBot="1">
      <c r="A3" s="295" t="s">
        <v>695</v>
      </c>
      <c r="B3" s="296"/>
      <c r="C3" s="296"/>
      <c r="D3" s="296"/>
      <c r="E3" s="293"/>
      <c r="F3" s="293"/>
      <c r="G3" s="293"/>
      <c r="H3" s="293"/>
      <c r="I3" s="293"/>
      <c r="J3" s="296"/>
      <c r="K3" s="296"/>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6"/>
      <c r="AK3" s="296"/>
      <c r="AL3" s="296"/>
      <c r="AM3" s="296"/>
      <c r="AN3" s="293"/>
      <c r="AO3" s="296"/>
      <c r="AP3" s="296"/>
      <c r="AQ3" s="296"/>
      <c r="AR3" s="296"/>
      <c r="AS3" s="296"/>
      <c r="AT3" s="296"/>
      <c r="AU3" s="297"/>
      <c r="AV3" s="272"/>
    </row>
    <row r="4" spans="1:51" ht="18" thickBot="1">
      <c r="D4" s="46"/>
      <c r="E4" s="46"/>
      <c r="F4" s="47"/>
      <c r="G4" s="46"/>
      <c r="H4" s="46"/>
      <c r="I4" s="46"/>
      <c r="L4" s="49"/>
      <c r="M4" s="49"/>
      <c r="N4" s="49"/>
      <c r="O4" s="49"/>
      <c r="P4" s="46"/>
      <c r="Q4" s="46"/>
      <c r="AC4" s="46"/>
      <c r="AD4" s="46"/>
      <c r="AE4" s="45"/>
      <c r="AF4" s="45"/>
      <c r="AG4" s="45"/>
      <c r="AH4" s="44"/>
      <c r="AJ4" s="45"/>
      <c r="AK4" s="273"/>
      <c r="AL4" s="45"/>
      <c r="AM4" s="45"/>
      <c r="AN4" s="45"/>
      <c r="AO4" s="45"/>
      <c r="AP4" s="266"/>
      <c r="AQ4" s="266"/>
      <c r="AR4" s="266"/>
      <c r="AS4" s="266"/>
      <c r="AT4" s="266"/>
      <c r="AU4" s="45"/>
      <c r="AV4" s="45"/>
    </row>
    <row r="5" spans="1:51" s="50" customFormat="1" ht="145.5" customHeight="1">
      <c r="A5" s="358" t="s">
        <v>271</v>
      </c>
      <c r="B5" s="359" t="s">
        <v>272</v>
      </c>
      <c r="C5" s="360" t="s">
        <v>273</v>
      </c>
      <c r="D5" s="360" t="s">
        <v>683</v>
      </c>
      <c r="E5" s="360" t="s">
        <v>151</v>
      </c>
      <c r="F5" s="360" t="s">
        <v>198</v>
      </c>
      <c r="G5" s="360" t="s">
        <v>152</v>
      </c>
      <c r="H5" s="360" t="s">
        <v>197</v>
      </c>
      <c r="I5" s="360" t="s">
        <v>176</v>
      </c>
      <c r="J5" s="361" t="s">
        <v>696</v>
      </c>
      <c r="K5" s="362" t="s">
        <v>693</v>
      </c>
      <c r="L5" s="362" t="s">
        <v>274</v>
      </c>
      <c r="M5" s="362" t="s">
        <v>275</v>
      </c>
      <c r="N5" s="362" t="s">
        <v>276</v>
      </c>
      <c r="O5" s="362" t="s">
        <v>277</v>
      </c>
      <c r="P5" s="362" t="s">
        <v>278</v>
      </c>
      <c r="Q5" s="362" t="s">
        <v>285</v>
      </c>
      <c r="R5" s="362" t="s">
        <v>279</v>
      </c>
      <c r="S5" s="362" t="s">
        <v>281</v>
      </c>
      <c r="T5" s="362" t="s">
        <v>191</v>
      </c>
      <c r="U5" s="362" t="s">
        <v>193</v>
      </c>
      <c r="V5" s="362" t="s">
        <v>192</v>
      </c>
      <c r="W5" s="362" t="s">
        <v>195</v>
      </c>
      <c r="X5" s="362" t="s">
        <v>201</v>
      </c>
      <c r="Y5" s="362" t="s">
        <v>202</v>
      </c>
      <c r="Z5" s="362" t="s">
        <v>244</v>
      </c>
      <c r="AA5" s="362" t="s">
        <v>280</v>
      </c>
      <c r="AB5" s="362" t="s">
        <v>282</v>
      </c>
      <c r="AC5" s="362" t="s">
        <v>283</v>
      </c>
      <c r="AD5" s="362" t="s">
        <v>284</v>
      </c>
      <c r="AE5" s="363" t="s">
        <v>286</v>
      </c>
      <c r="AF5" s="363" t="s">
        <v>422</v>
      </c>
      <c r="AG5" s="363" t="s">
        <v>423</v>
      </c>
      <c r="AH5" s="364" t="s">
        <v>287</v>
      </c>
      <c r="AI5" s="365" t="s">
        <v>431</v>
      </c>
      <c r="AJ5" s="363" t="s">
        <v>288</v>
      </c>
      <c r="AK5" s="363" t="s">
        <v>694</v>
      </c>
      <c r="AL5" s="363" t="s">
        <v>699</v>
      </c>
      <c r="AM5" s="363" t="s">
        <v>358</v>
      </c>
      <c r="AN5" s="363" t="s">
        <v>430</v>
      </c>
      <c r="AO5" s="363" t="s">
        <v>688</v>
      </c>
      <c r="AP5" s="363" t="s">
        <v>731</v>
      </c>
      <c r="AQ5" s="363" t="s">
        <v>732</v>
      </c>
      <c r="AR5" s="363" t="s">
        <v>358</v>
      </c>
      <c r="AS5" s="363" t="s">
        <v>708</v>
      </c>
      <c r="AT5" s="363" t="s">
        <v>700</v>
      </c>
      <c r="AU5" s="420" t="s">
        <v>706</v>
      </c>
      <c r="AV5" s="248"/>
      <c r="AW5" s="244"/>
      <c r="AX5" s="244"/>
      <c r="AY5" s="244"/>
    </row>
    <row r="6" spans="1:51" s="50" customFormat="1" ht="21" customHeight="1">
      <c r="A6" s="366">
        <v>1</v>
      </c>
      <c r="B6" s="3">
        <v>2</v>
      </c>
      <c r="C6" s="3">
        <v>3</v>
      </c>
      <c r="D6" s="3">
        <v>4</v>
      </c>
      <c r="E6" s="3">
        <v>0.70280399999999998</v>
      </c>
      <c r="F6" s="3" t="s">
        <v>149</v>
      </c>
      <c r="G6" s="3">
        <v>0.70280399999999998</v>
      </c>
      <c r="H6" s="3" t="s">
        <v>150</v>
      </c>
      <c r="I6" s="3">
        <v>0.70280399999999998</v>
      </c>
      <c r="J6" s="3">
        <v>5</v>
      </c>
      <c r="K6" s="3">
        <v>6</v>
      </c>
      <c r="L6" s="3"/>
      <c r="M6" s="3"/>
      <c r="N6" s="3"/>
      <c r="O6" s="3"/>
      <c r="P6" s="3"/>
      <c r="Q6" s="3"/>
      <c r="R6" s="3"/>
      <c r="S6" s="3"/>
      <c r="T6" s="102"/>
      <c r="U6" s="3"/>
      <c r="V6" s="3"/>
      <c r="W6" s="3"/>
      <c r="X6" s="3"/>
      <c r="Y6" s="3"/>
      <c r="Z6" s="3"/>
      <c r="AA6" s="3"/>
      <c r="AB6" s="3"/>
      <c r="AC6" s="4"/>
      <c r="AD6" s="3"/>
      <c r="AE6" s="3"/>
      <c r="AF6" s="3"/>
      <c r="AG6" s="3"/>
      <c r="AH6" s="3"/>
      <c r="AI6" s="4"/>
      <c r="AJ6" s="421">
        <v>7</v>
      </c>
      <c r="AK6" s="421">
        <v>8</v>
      </c>
      <c r="AL6" s="421">
        <v>9</v>
      </c>
      <c r="AM6" s="421" t="s">
        <v>698</v>
      </c>
      <c r="AN6" s="421"/>
      <c r="AO6" s="421"/>
      <c r="AP6" s="422"/>
      <c r="AQ6" s="422">
        <v>8</v>
      </c>
      <c r="AR6" s="422">
        <v>9</v>
      </c>
      <c r="AS6" s="422">
        <v>13</v>
      </c>
      <c r="AT6" s="422">
        <v>10</v>
      </c>
      <c r="AU6" s="423">
        <v>11</v>
      </c>
      <c r="AV6" s="248"/>
      <c r="AW6" s="244"/>
      <c r="AX6" s="244"/>
      <c r="AY6" s="244"/>
    </row>
    <row r="7" spans="1:51" s="50" customFormat="1" ht="35.25" customHeight="1">
      <c r="A7" s="367"/>
      <c r="B7" s="52" t="s">
        <v>439</v>
      </c>
      <c r="C7" s="53"/>
      <c r="D7" s="53"/>
      <c r="E7" s="53"/>
      <c r="F7" s="54">
        <f>SUM(F10,F9,F11)</f>
        <v>3184016715.766396</v>
      </c>
      <c r="G7" s="54"/>
      <c r="H7" s="54">
        <f>SUM(H10,H9,H11)</f>
        <v>3184016716.8854599</v>
      </c>
      <c r="I7" s="54"/>
      <c r="J7" s="55">
        <f>SUM(J10,J9,J11)</f>
        <v>3184016716.7319355</v>
      </c>
      <c r="K7" s="55">
        <f>SUM(K10,K9,K11)</f>
        <v>3385029899.1612759</v>
      </c>
      <c r="L7" s="55">
        <f t="shared" ref="L7:N7" si="0">SUM(L10,L9,L11)</f>
        <v>3821909632.96</v>
      </c>
      <c r="M7" s="121">
        <f>L7/J7</f>
        <v>1.2003422007415827</v>
      </c>
      <c r="N7" s="55">
        <f t="shared" si="0"/>
        <v>785984839.34000003</v>
      </c>
      <c r="O7" s="121">
        <f>N7/J7</f>
        <v>0.24685323893234215</v>
      </c>
      <c r="P7" s="56">
        <f>SUM(P10,P9,P11)</f>
        <v>2799708662.0100002</v>
      </c>
      <c r="Q7" s="57">
        <f>P7/J7</f>
        <v>0.87930086776793437</v>
      </c>
      <c r="R7" s="56">
        <f>SUM(R10,R9,R11)</f>
        <v>2751451063.8000002</v>
      </c>
      <c r="S7" s="57">
        <f>R7/J7</f>
        <v>0.86414466649662591</v>
      </c>
      <c r="T7" s="56">
        <f t="shared" ref="T7:X7" si="1">SUM(T10,T9,T11)</f>
        <v>951751111.95999992</v>
      </c>
      <c r="U7" s="56">
        <f t="shared" si="1"/>
        <v>36911837.420000002</v>
      </c>
      <c r="V7" s="56">
        <f t="shared" si="1"/>
        <v>459373526.00999999</v>
      </c>
      <c r="W7" s="56">
        <f t="shared" si="1"/>
        <v>105547921.95</v>
      </c>
      <c r="X7" s="56">
        <f t="shared" ca="1" si="1"/>
        <v>45137197.980000004</v>
      </c>
      <c r="Y7" s="87">
        <f t="shared" ref="Y7:Y71" ca="1" si="2">AC7-X7</f>
        <v>1402899277.4099998</v>
      </c>
      <c r="Z7" s="56">
        <f>T7+U7+W7</f>
        <v>1094210871.3299999</v>
      </c>
      <c r="AA7" s="56">
        <f>SUM(AA10,AA9,AA11)</f>
        <v>142487857.40694422</v>
      </c>
      <c r="AB7" s="128">
        <f>AA7/J7</f>
        <v>4.475097654424167E-2</v>
      </c>
      <c r="AC7" s="56">
        <f>SUM(T7:V7)</f>
        <v>1448036475.3899999</v>
      </c>
      <c r="AD7" s="57">
        <f>AC7/J7</f>
        <v>0.4547829374703346</v>
      </c>
      <c r="AE7" s="57">
        <v>6.8918429366785581E-3</v>
      </c>
      <c r="AF7" s="56">
        <f>J7-R7</f>
        <v>432565652.93193531</v>
      </c>
      <c r="AG7" s="57">
        <f>AF7/J7</f>
        <v>0.13585533350337409</v>
      </c>
      <c r="AH7" s="57"/>
      <c r="AI7" s="56"/>
      <c r="AJ7" s="233" t="s">
        <v>408</v>
      </c>
      <c r="AK7" s="55">
        <f>SUM(AK10,AK9,AK11)</f>
        <v>226454564.23037243</v>
      </c>
      <c r="AL7" s="55">
        <f>SUM(AL10,AL9,AL11)</f>
        <v>241355170.61496401</v>
      </c>
      <c r="AM7" s="57">
        <f>AL7/K7</f>
        <v>7.1300750009554034E-2</v>
      </c>
      <c r="AN7" s="57"/>
      <c r="AO7" s="55">
        <f>SUM(AO10,AO9,AO11)</f>
        <v>237944631.61496401</v>
      </c>
      <c r="AP7" s="55">
        <f>SUM(AP10,AP9,AP11)</f>
        <v>298040395.814964</v>
      </c>
      <c r="AQ7" s="55">
        <f>SUM(AQ10,AQ9,AQ11)</f>
        <v>256238009.814964</v>
      </c>
      <c r="AR7" s="57">
        <f>AQ7/K7</f>
        <v>7.5697414040110322E-2</v>
      </c>
      <c r="AS7" s="267"/>
      <c r="AT7" s="267"/>
      <c r="AU7" s="368">
        <f>SUM(AU10,AU9,AU11)</f>
        <v>11632889.058823533</v>
      </c>
      <c r="AV7" s="249"/>
      <c r="AW7" s="244"/>
      <c r="AX7" s="244"/>
      <c r="AY7" s="244"/>
    </row>
    <row r="8" spans="1:51" s="50" customFormat="1" ht="15" customHeight="1">
      <c r="A8" s="369"/>
      <c r="B8" s="5"/>
      <c r="C8" s="3"/>
      <c r="D8" s="3"/>
      <c r="E8" s="3"/>
      <c r="F8" s="3"/>
      <c r="G8" s="3"/>
      <c r="H8" s="3"/>
      <c r="I8" s="3"/>
      <c r="J8" s="7"/>
      <c r="K8" s="7"/>
      <c r="L8" s="7"/>
      <c r="M8" s="122"/>
      <c r="N8" s="7"/>
      <c r="O8" s="7"/>
      <c r="P8" s="4"/>
      <c r="Q8" s="4"/>
      <c r="R8" s="4"/>
      <c r="S8" s="4"/>
      <c r="T8" s="6"/>
      <c r="U8" s="6"/>
      <c r="V8" s="6"/>
      <c r="W8" s="6"/>
      <c r="X8" s="6"/>
      <c r="Y8" s="6"/>
      <c r="Z8" s="6"/>
      <c r="AA8" s="6"/>
      <c r="AB8" s="129"/>
      <c r="AC8" s="4"/>
      <c r="AD8" s="4"/>
      <c r="AE8" s="4"/>
      <c r="AF8" s="4"/>
      <c r="AG8" s="4"/>
      <c r="AH8" s="4"/>
      <c r="AI8" s="4"/>
      <c r="AJ8" s="235"/>
      <c r="AK8" s="4"/>
      <c r="AL8" s="4"/>
      <c r="AM8" s="6"/>
      <c r="AN8" s="4"/>
      <c r="AO8" s="4"/>
      <c r="AP8" s="268"/>
      <c r="AQ8" s="268"/>
      <c r="AR8" s="6"/>
      <c r="AS8" s="268"/>
      <c r="AT8" s="268"/>
      <c r="AU8" s="370"/>
      <c r="AV8" s="250"/>
      <c r="AW8" s="244"/>
      <c r="AX8" s="244"/>
      <c r="AY8" s="244"/>
    </row>
    <row r="9" spans="1:51" s="50" customFormat="1" ht="19.5" customHeight="1">
      <c r="A9" s="367"/>
      <c r="B9" s="52" t="s">
        <v>440</v>
      </c>
      <c r="C9" s="53"/>
      <c r="D9" s="53"/>
      <c r="E9" s="53"/>
      <c r="F9" s="54">
        <f>SUM(F16)</f>
        <v>409807622.18692803</v>
      </c>
      <c r="G9" s="54"/>
      <c r="H9" s="54">
        <f>SUM(H16)</f>
        <v>409807622.33852804</v>
      </c>
      <c r="I9" s="54"/>
      <c r="J9" s="55">
        <f>SUM(J16)</f>
        <v>409807622.37605202</v>
      </c>
      <c r="K9" s="55">
        <f>SUM(K16)</f>
        <v>459151878.95125997</v>
      </c>
      <c r="L9" s="55">
        <f t="shared" ref="L9:N9" si="3">SUM(L16)</f>
        <v>576872134.60000002</v>
      </c>
      <c r="M9" s="121">
        <f t="shared" ref="M9:M11" si="4">L9/J9</f>
        <v>1.4076657023979033</v>
      </c>
      <c r="N9" s="55">
        <f t="shared" si="3"/>
        <v>181473589.42999998</v>
      </c>
      <c r="O9" s="121">
        <f t="shared" ref="O9:O70" si="5">N9/J9</f>
        <v>0.44282629097482784</v>
      </c>
      <c r="P9" s="56">
        <f>SUM(P16)</f>
        <v>392134278.05999994</v>
      </c>
      <c r="Q9" s="57">
        <f>P9/J9</f>
        <v>0.95687404686720423</v>
      </c>
      <c r="R9" s="56">
        <f>SUM(R16)</f>
        <v>391149774.02999997</v>
      </c>
      <c r="S9" s="57">
        <f>R9/J9</f>
        <v>0.95447169030708989</v>
      </c>
      <c r="T9" s="56">
        <f t="shared" ref="T9:X9" si="6">SUM(T16)</f>
        <v>233757468.81999993</v>
      </c>
      <c r="U9" s="56">
        <f t="shared" si="6"/>
        <v>0</v>
      </c>
      <c r="V9" s="56">
        <f t="shared" si="6"/>
        <v>23307132.310000002</v>
      </c>
      <c r="W9" s="56">
        <f t="shared" si="6"/>
        <v>1869272.0499999993</v>
      </c>
      <c r="X9" s="56">
        <f t="shared" si="6"/>
        <v>37807.360000000001</v>
      </c>
      <c r="Y9" s="87">
        <f t="shared" si="2"/>
        <v>257026793.76999992</v>
      </c>
      <c r="Z9" s="56">
        <f t="shared" ref="Z9:Z11" si="7">T9+U9+W9</f>
        <v>235626740.86999995</v>
      </c>
      <c r="AA9" s="56">
        <f>SUM(AA16)</f>
        <v>3327297.68</v>
      </c>
      <c r="AB9" s="128">
        <f>AA9/J9</f>
        <v>8.1191698209721677E-3</v>
      </c>
      <c r="AC9" s="56">
        <f t="shared" ref="AC9:AC11" si="8">SUM(T9:V9)</f>
        <v>257064601.12999994</v>
      </c>
      <c r="AD9" s="57">
        <f>AC9/J9</f>
        <v>0.6272811609494896</v>
      </c>
      <c r="AE9" s="57">
        <v>2.7874582035421506E-3</v>
      </c>
      <c r="AF9" s="56">
        <f>J9-R9</f>
        <v>18657848.346052051</v>
      </c>
      <c r="AG9" s="57">
        <f>AF9/J9</f>
        <v>4.55283096929101E-2</v>
      </c>
      <c r="AH9" s="57"/>
      <c r="AI9" s="56"/>
      <c r="AJ9" s="233" t="s">
        <v>408</v>
      </c>
      <c r="AK9" s="55">
        <f>SUM(AK16)</f>
        <v>30474860.137943044</v>
      </c>
      <c r="AL9" s="55">
        <f>SUM(AL16)</f>
        <v>35347029.270906001</v>
      </c>
      <c r="AM9" s="57">
        <f>AL9/K9</f>
        <v>7.6983305288092205E-2</v>
      </c>
      <c r="AN9" s="56"/>
      <c r="AO9" s="55">
        <f>SUM(AO16)</f>
        <v>34847029.270906001</v>
      </c>
      <c r="AP9" s="55">
        <f>SUM(AP16)</f>
        <v>40287101.270905994</v>
      </c>
      <c r="AQ9" s="55">
        <f>SUM(AQ16)</f>
        <v>36847029.270905994</v>
      </c>
      <c r="AR9" s="57">
        <f>AQ9/K9</f>
        <v>8.0250198158978658E-2</v>
      </c>
      <c r="AS9" s="267"/>
      <c r="AT9" s="267"/>
      <c r="AU9" s="368">
        <f>SUM(AU16)</f>
        <v>0</v>
      </c>
      <c r="AV9" s="249"/>
      <c r="AW9" s="244"/>
      <c r="AX9" s="244"/>
      <c r="AY9" s="244"/>
    </row>
    <row r="10" spans="1:51" s="50" customFormat="1">
      <c r="A10" s="367"/>
      <c r="B10" s="52" t="s">
        <v>441</v>
      </c>
      <c r="C10" s="53"/>
      <c r="D10" s="53"/>
      <c r="E10" s="53"/>
      <c r="F10" s="54">
        <f>SUM(F107,F153)</f>
        <v>1692047973.0248561</v>
      </c>
      <c r="G10" s="54"/>
      <c r="H10" s="54">
        <f>SUM(H107,H153)</f>
        <v>1692047973.9923201</v>
      </c>
      <c r="I10" s="54"/>
      <c r="J10" s="55">
        <f>SUM(J107,J153)</f>
        <v>1692047973.8012719</v>
      </c>
      <c r="K10" s="55">
        <f>SUM(K107,K153)</f>
        <v>1786100440.8940639</v>
      </c>
      <c r="L10" s="55">
        <f>SUM(L107,L153)</f>
        <v>2081214460.0700002</v>
      </c>
      <c r="M10" s="121">
        <f t="shared" si="4"/>
        <v>1.229997312306959</v>
      </c>
      <c r="N10" s="55">
        <f>SUM(N107,N153)</f>
        <v>514990944.18000007</v>
      </c>
      <c r="O10" s="121">
        <f t="shared" si="5"/>
        <v>0.30435954071860427</v>
      </c>
      <c r="P10" s="56">
        <f>SUM(P107,P153)</f>
        <v>1445985574.1100001</v>
      </c>
      <c r="Q10" s="57">
        <f>P10/J10</f>
        <v>0.8545771730464119</v>
      </c>
      <c r="R10" s="56">
        <f>SUM(R107,R153)</f>
        <v>1406307444.6900001</v>
      </c>
      <c r="S10" s="57">
        <f>R10/J10</f>
        <v>0.83112740682562258</v>
      </c>
      <c r="T10" s="56">
        <f>SUM(T107,T153)</f>
        <v>466390211.63999999</v>
      </c>
      <c r="U10" s="56">
        <f>SUM(U107,U153)</f>
        <v>27216414.289999999</v>
      </c>
      <c r="V10" s="56">
        <f>SUM(V107,V153)</f>
        <v>240856177.59</v>
      </c>
      <c r="W10" s="56">
        <f>SUM(W107,W153)</f>
        <v>67261053.090000004</v>
      </c>
      <c r="X10" s="56">
        <f>SUM(X107,X153)</f>
        <v>42041693.020000003</v>
      </c>
      <c r="Y10" s="87">
        <f t="shared" si="2"/>
        <v>692421110.5</v>
      </c>
      <c r="Z10" s="56">
        <f t="shared" si="7"/>
        <v>560867679.01999998</v>
      </c>
      <c r="AA10" s="56">
        <f>SUM(AA107,AA153)</f>
        <v>63853959.700000003</v>
      </c>
      <c r="AB10" s="128">
        <f>AA10/J10</f>
        <v>3.7737676879544282E-2</v>
      </c>
      <c r="AC10" s="56">
        <f t="shared" si="8"/>
        <v>734462803.51999998</v>
      </c>
      <c r="AD10" s="57">
        <f>AC10/J10</f>
        <v>0.43406736386438965</v>
      </c>
      <c r="AE10" s="57">
        <v>1.1466418387746919E-2</v>
      </c>
      <c r="AF10" s="56">
        <f>J10-R10</f>
        <v>285740529.11127186</v>
      </c>
      <c r="AG10" s="57">
        <f>AF10/J10</f>
        <v>0.16887259317437744</v>
      </c>
      <c r="AH10" s="57"/>
      <c r="AI10" s="56"/>
      <c r="AJ10" s="233" t="s">
        <v>408</v>
      </c>
      <c r="AK10" s="55">
        <f>SUM(AK107,AK153)</f>
        <v>156862738.64195937</v>
      </c>
      <c r="AL10" s="55">
        <f>SUM(AL107,AL153)</f>
        <v>161584023.80000001</v>
      </c>
      <c r="AM10" s="57">
        <f t="shared" ref="AM10:AM15" si="9">AL10/K10</f>
        <v>9.046749001367263E-2</v>
      </c>
      <c r="AN10" s="56"/>
      <c r="AO10" s="55">
        <f>SUM(AO107,AO153)</f>
        <v>158673484.80000001</v>
      </c>
      <c r="AP10" s="55">
        <f>SUM(AP107,AP153)</f>
        <v>210546338</v>
      </c>
      <c r="AQ10" s="55">
        <f>SUM(AQ107,AQ153)</f>
        <v>172184024</v>
      </c>
      <c r="AR10" s="57">
        <f>AQ10/K10</f>
        <v>9.6402206761569506E-2</v>
      </c>
      <c r="AS10" s="267"/>
      <c r="AT10" s="267"/>
      <c r="AU10" s="368">
        <f>SUM(AU107,AU153)</f>
        <v>11264494.235294122</v>
      </c>
      <c r="AV10" s="249"/>
      <c r="AW10" s="244"/>
      <c r="AX10" s="244"/>
      <c r="AY10" s="244"/>
    </row>
    <row r="11" spans="1:51" s="50" customFormat="1">
      <c r="A11" s="367"/>
      <c r="B11" s="52" t="s">
        <v>442</v>
      </c>
      <c r="C11" s="53"/>
      <c r="D11" s="53"/>
      <c r="E11" s="53"/>
      <c r="F11" s="54">
        <f>F154</f>
        <v>1082161120.5546119</v>
      </c>
      <c r="G11" s="54"/>
      <c r="H11" s="54">
        <f>H154</f>
        <v>1082161120.5546119</v>
      </c>
      <c r="I11" s="54"/>
      <c r="J11" s="55">
        <f>J154</f>
        <v>1082161120.5546119</v>
      </c>
      <c r="K11" s="55">
        <f>K154</f>
        <v>1139777579.3159521</v>
      </c>
      <c r="L11" s="55">
        <f t="shared" ref="L11:N11" si="10">L154</f>
        <v>1163823038.29</v>
      </c>
      <c r="M11" s="121">
        <f t="shared" si="4"/>
        <v>1.0754618847270505</v>
      </c>
      <c r="N11" s="55">
        <f t="shared" si="10"/>
        <v>89520305.730000004</v>
      </c>
      <c r="O11" s="121">
        <f t="shared" si="5"/>
        <v>8.2723638864534779E-2</v>
      </c>
      <c r="P11" s="56">
        <f>P154</f>
        <v>961588809.84000015</v>
      </c>
      <c r="Q11" s="57">
        <f>P11/J11</f>
        <v>0.88858192331580166</v>
      </c>
      <c r="R11" s="56">
        <f>R154</f>
        <v>953993845.08000004</v>
      </c>
      <c r="S11" s="57">
        <f>R11/J11</f>
        <v>0.88156359248156535</v>
      </c>
      <c r="T11" s="56">
        <f>T154</f>
        <v>251603431.50000003</v>
      </c>
      <c r="U11" s="56">
        <f t="shared" ref="U11:X11" si="11">U154</f>
        <v>9695423.129999999</v>
      </c>
      <c r="V11" s="56">
        <f t="shared" si="11"/>
        <v>195210216.11000001</v>
      </c>
      <c r="W11" s="56">
        <f t="shared" si="11"/>
        <v>36417596.810000002</v>
      </c>
      <c r="X11" s="56">
        <f t="shared" ca="1" si="11"/>
        <v>3057697.6</v>
      </c>
      <c r="Y11" s="87">
        <f t="shared" ca="1" si="2"/>
        <v>453451373.13999999</v>
      </c>
      <c r="Z11" s="56">
        <f t="shared" si="7"/>
        <v>297716451.44000006</v>
      </c>
      <c r="AA11" s="56">
        <f>AA154</f>
        <v>75306600.02694422</v>
      </c>
      <c r="AB11" s="128">
        <f>AA11/J11</f>
        <v>6.9589082990108977E-2</v>
      </c>
      <c r="AC11" s="56">
        <f t="shared" si="8"/>
        <v>456509070.74000001</v>
      </c>
      <c r="AD11" s="57">
        <f>AC11/J11</f>
        <v>0.42184944743351827</v>
      </c>
      <c r="AE11" s="57">
        <v>1.330500265475954E-3</v>
      </c>
      <c r="AF11" s="56">
        <f>J11-R11</f>
        <v>128167275.47461188</v>
      </c>
      <c r="AG11" s="57">
        <f>AF11/J11</f>
        <v>0.11843640751843462</v>
      </c>
      <c r="AH11" s="57"/>
      <c r="AI11" s="56"/>
      <c r="AJ11" s="233" t="s">
        <v>408</v>
      </c>
      <c r="AK11" s="55">
        <f>AK154</f>
        <v>39116965.45047003</v>
      </c>
      <c r="AL11" s="55">
        <f>AL154</f>
        <v>44424117.54405801</v>
      </c>
      <c r="AM11" s="57">
        <f t="shared" si="9"/>
        <v>3.8976128632675466E-2</v>
      </c>
      <c r="AN11" s="56"/>
      <c r="AO11" s="55">
        <f>AO154</f>
        <v>44424117.54405801</v>
      </c>
      <c r="AP11" s="55">
        <f>AP154</f>
        <v>47206956.54405801</v>
      </c>
      <c r="AQ11" s="55">
        <f>AQ154</f>
        <v>47206956.54405801</v>
      </c>
      <c r="AR11" s="57">
        <f>AQ11/K11</f>
        <v>4.1417691838077475E-2</v>
      </c>
      <c r="AS11" s="267"/>
      <c r="AT11" s="267"/>
      <c r="AU11" s="368">
        <f>AU154</f>
        <v>368394.82352941157</v>
      </c>
      <c r="AV11" s="249"/>
      <c r="AW11" s="244"/>
      <c r="AX11" s="244"/>
      <c r="AY11" s="244"/>
    </row>
    <row r="12" spans="1:51" s="50" customFormat="1">
      <c r="A12" s="369"/>
      <c r="B12" s="5"/>
      <c r="C12" s="3"/>
      <c r="D12" s="3"/>
      <c r="E12" s="3"/>
      <c r="F12" s="3"/>
      <c r="G12" s="3"/>
      <c r="H12" s="3"/>
      <c r="I12" s="3"/>
      <c r="J12" s="7"/>
      <c r="K12" s="7"/>
      <c r="L12" s="7"/>
      <c r="M12" s="122"/>
      <c r="N12" s="7"/>
      <c r="O12" s="7"/>
      <c r="P12" s="4"/>
      <c r="Q12" s="4"/>
      <c r="R12" s="4"/>
      <c r="S12" s="4"/>
      <c r="T12" s="6"/>
      <c r="U12" s="6"/>
      <c r="V12" s="6"/>
      <c r="W12" s="6"/>
      <c r="X12" s="6"/>
      <c r="Y12" s="6"/>
      <c r="Z12" s="6"/>
      <c r="AA12" s="6"/>
      <c r="AB12" s="129"/>
      <c r="AC12" s="4"/>
      <c r="AD12" s="4"/>
      <c r="AE12" s="4"/>
      <c r="AF12" s="4"/>
      <c r="AG12" s="4"/>
      <c r="AH12" s="4"/>
      <c r="AI12" s="4"/>
      <c r="AJ12" s="235"/>
      <c r="AK12" s="4"/>
      <c r="AL12" s="4"/>
      <c r="AM12" s="6"/>
      <c r="AN12" s="4"/>
      <c r="AO12" s="4"/>
      <c r="AP12" s="268"/>
      <c r="AQ12" s="268"/>
      <c r="AR12" s="6"/>
      <c r="AS12" s="268"/>
      <c r="AT12" s="268"/>
      <c r="AU12" s="370"/>
      <c r="AV12" s="250"/>
      <c r="AW12" s="244"/>
      <c r="AX12" s="244"/>
      <c r="AY12" s="244"/>
    </row>
    <row r="13" spans="1:51" s="50" customFormat="1">
      <c r="A13" s="367"/>
      <c r="B13" s="52" t="s">
        <v>443</v>
      </c>
      <c r="C13" s="53"/>
      <c r="D13" s="58"/>
      <c r="E13" s="58"/>
      <c r="F13" s="54">
        <f>F16</f>
        <v>409807622.18692803</v>
      </c>
      <c r="G13" s="54"/>
      <c r="H13" s="54">
        <f>H16</f>
        <v>409807622.33852804</v>
      </c>
      <c r="I13" s="54"/>
      <c r="J13" s="55">
        <f>J16</f>
        <v>409807622.37605202</v>
      </c>
      <c r="K13" s="55">
        <f>K16</f>
        <v>459151878.95125997</v>
      </c>
      <c r="L13" s="55">
        <f t="shared" ref="L13:N13" si="12">L16</f>
        <v>576872134.60000002</v>
      </c>
      <c r="M13" s="121">
        <f t="shared" ref="M13:M15" si="13">L13/J13</f>
        <v>1.4076657023979033</v>
      </c>
      <c r="N13" s="55">
        <f t="shared" si="12"/>
        <v>181473589.42999998</v>
      </c>
      <c r="O13" s="121">
        <f t="shared" si="5"/>
        <v>0.44282629097482784</v>
      </c>
      <c r="P13" s="56">
        <f>P16</f>
        <v>392134278.05999994</v>
      </c>
      <c r="Q13" s="57">
        <f t="shared" ref="Q13:Q18" si="14">P13/J13</f>
        <v>0.95687404686720423</v>
      </c>
      <c r="R13" s="56">
        <f>R16</f>
        <v>391149774.02999997</v>
      </c>
      <c r="S13" s="57">
        <f t="shared" ref="S13:S18" si="15">R13/J13</f>
        <v>0.95447169030708989</v>
      </c>
      <c r="T13" s="56">
        <f t="shared" ref="T13:X13" si="16">T16</f>
        <v>233757468.81999993</v>
      </c>
      <c r="U13" s="56">
        <f t="shared" si="16"/>
        <v>0</v>
      </c>
      <c r="V13" s="56">
        <f t="shared" si="16"/>
        <v>23307132.310000002</v>
      </c>
      <c r="W13" s="56">
        <f t="shared" si="16"/>
        <v>1869272.0499999993</v>
      </c>
      <c r="X13" s="56">
        <f t="shared" si="16"/>
        <v>37807.360000000001</v>
      </c>
      <c r="Y13" s="87">
        <f t="shared" si="2"/>
        <v>257026793.76999992</v>
      </c>
      <c r="Z13" s="56">
        <f t="shared" ref="Z13:Z77" si="17">T13+U13+W13</f>
        <v>235626740.86999995</v>
      </c>
      <c r="AA13" s="56">
        <f>AA16</f>
        <v>3327297.68</v>
      </c>
      <c r="AB13" s="128">
        <f t="shared" ref="AB13:AB18" si="18">AA13/J13</f>
        <v>8.1191698209721677E-3</v>
      </c>
      <c r="AC13" s="56">
        <f t="shared" ref="AC13:AC15" si="19">SUM(T13:V13)</f>
        <v>257064601.12999994</v>
      </c>
      <c r="AD13" s="57">
        <f t="shared" ref="AD13:AD18" si="20">AC13/J13</f>
        <v>0.6272811609494896</v>
      </c>
      <c r="AE13" s="57">
        <v>2.7874582035421506E-3</v>
      </c>
      <c r="AF13" s="56">
        <f t="shared" ref="AF13:AF18" si="21">J13-R13</f>
        <v>18657848.346052051</v>
      </c>
      <c r="AG13" s="57">
        <f t="shared" ref="AG13:AG18" si="22">AF13/J13</f>
        <v>4.55283096929101E-2</v>
      </c>
      <c r="AH13" s="57"/>
      <c r="AI13" s="56"/>
      <c r="AJ13" s="233" t="s">
        <v>408</v>
      </c>
      <c r="AK13" s="56">
        <f>AK16</f>
        <v>30474860.137943044</v>
      </c>
      <c r="AL13" s="55">
        <f>AL16</f>
        <v>35347029.270906001</v>
      </c>
      <c r="AM13" s="57">
        <f t="shared" si="9"/>
        <v>7.6983305288092205E-2</v>
      </c>
      <c r="AN13" s="57"/>
      <c r="AO13" s="55">
        <f>AO16</f>
        <v>34847029.270906001</v>
      </c>
      <c r="AP13" s="55">
        <f>AP16</f>
        <v>40287101.270905994</v>
      </c>
      <c r="AQ13" s="55">
        <f>AQ16</f>
        <v>36847029.270905994</v>
      </c>
      <c r="AR13" s="57">
        <f t="shared" ref="AR13:AR18" si="23">AQ13/K13</f>
        <v>8.0250198158978658E-2</v>
      </c>
      <c r="AS13" s="57"/>
      <c r="AT13" s="57"/>
      <c r="AU13" s="368">
        <f>AU16</f>
        <v>0</v>
      </c>
      <c r="AV13" s="249"/>
      <c r="AW13" s="244"/>
      <c r="AX13" s="244"/>
      <c r="AY13" s="244"/>
    </row>
    <row r="14" spans="1:51" s="50" customFormat="1">
      <c r="A14" s="367"/>
      <c r="B14" s="52" t="s">
        <v>444</v>
      </c>
      <c r="C14" s="53"/>
      <c r="D14" s="58"/>
      <c r="E14" s="58"/>
      <c r="F14" s="54">
        <f>F107</f>
        <v>517777457.92000002</v>
      </c>
      <c r="G14" s="54"/>
      <c r="H14" s="54">
        <f>H107</f>
        <v>517777458.88746399</v>
      </c>
      <c r="I14" s="54"/>
      <c r="J14" s="55">
        <f>J107</f>
        <v>517777458.69641602</v>
      </c>
      <c r="K14" s="55">
        <f>K107</f>
        <v>543127102.19716406</v>
      </c>
      <c r="L14" s="55">
        <f t="shared" ref="L14:N14" si="24">L107</f>
        <v>743582613.66999996</v>
      </c>
      <c r="M14" s="121">
        <f t="shared" si="13"/>
        <v>1.4361046453085906</v>
      </c>
      <c r="N14" s="55">
        <f t="shared" si="24"/>
        <v>247285298.18000004</v>
      </c>
      <c r="O14" s="121">
        <f t="shared" si="5"/>
        <v>0.47758992599364719</v>
      </c>
      <c r="P14" s="56">
        <f>P107</f>
        <v>454524953.69000006</v>
      </c>
      <c r="Q14" s="57">
        <f t="shared" si="14"/>
        <v>0.87783843436200593</v>
      </c>
      <c r="R14" s="56">
        <f>R107</f>
        <v>420530666.39000005</v>
      </c>
      <c r="S14" s="57">
        <f t="shared" si="15"/>
        <v>0.81218419096256211</v>
      </c>
      <c r="T14" s="56">
        <f t="shared" ref="T14:X14" si="25">T107</f>
        <v>184437939.13</v>
      </c>
      <c r="U14" s="56">
        <f t="shared" si="25"/>
        <v>27216414.289999999</v>
      </c>
      <c r="V14" s="56">
        <f t="shared" si="25"/>
        <v>31188847.080000002</v>
      </c>
      <c r="W14" s="56">
        <f t="shared" si="25"/>
        <v>157589.03</v>
      </c>
      <c r="X14" s="56">
        <f t="shared" si="25"/>
        <v>38269239.380000003</v>
      </c>
      <c r="Y14" s="87">
        <f t="shared" si="2"/>
        <v>204573961.12</v>
      </c>
      <c r="Z14" s="56">
        <f t="shared" si="17"/>
        <v>211811942.44999999</v>
      </c>
      <c r="AA14" s="56">
        <f>AA107</f>
        <v>41271926.560000002</v>
      </c>
      <c r="AB14" s="128">
        <f t="shared" si="18"/>
        <v>7.970977852900045E-2</v>
      </c>
      <c r="AC14" s="56">
        <f t="shared" si="19"/>
        <v>242843200.5</v>
      </c>
      <c r="AD14" s="57">
        <f t="shared" si="20"/>
        <v>0.46901076209728193</v>
      </c>
      <c r="AE14" s="57">
        <v>1.0598521556582139E-2</v>
      </c>
      <c r="AF14" s="56">
        <f t="shared" si="21"/>
        <v>97246792.306415975</v>
      </c>
      <c r="AG14" s="57">
        <f t="shared" si="22"/>
        <v>0.18781580903743791</v>
      </c>
      <c r="AH14" s="57"/>
      <c r="AI14" s="56"/>
      <c r="AJ14" s="233" t="s">
        <v>408</v>
      </c>
      <c r="AK14" s="56">
        <f>AK107</f>
        <v>48521508.271780893</v>
      </c>
      <c r="AL14" s="55">
        <f>AL107</f>
        <v>49056323.799999997</v>
      </c>
      <c r="AM14" s="57">
        <f t="shared" si="9"/>
        <v>9.0321995719874329E-2</v>
      </c>
      <c r="AN14" s="57"/>
      <c r="AO14" s="55">
        <f>AO107</f>
        <v>43056323.799999997</v>
      </c>
      <c r="AP14" s="55">
        <f>AP107</f>
        <v>54086882</v>
      </c>
      <c r="AQ14" s="55">
        <f>AQ107</f>
        <v>49056324</v>
      </c>
      <c r="AR14" s="57">
        <f t="shared" si="23"/>
        <v>9.0321996088112255E-2</v>
      </c>
      <c r="AS14" s="57"/>
      <c r="AT14" s="57"/>
      <c r="AU14" s="368">
        <f>AU107</f>
        <v>0</v>
      </c>
      <c r="AV14" s="249"/>
      <c r="AW14" s="244"/>
      <c r="AX14" s="244"/>
      <c r="AY14" s="244"/>
    </row>
    <row r="15" spans="1:51" s="50" customFormat="1">
      <c r="A15" s="367"/>
      <c r="B15" s="52" t="s">
        <v>445</v>
      </c>
      <c r="C15" s="53"/>
      <c r="D15" s="58"/>
      <c r="E15" s="58"/>
      <c r="F15" s="54">
        <f>F152</f>
        <v>2256431635.6594682</v>
      </c>
      <c r="G15" s="54"/>
      <c r="H15" s="54">
        <f>H152</f>
        <v>2256431635.6594682</v>
      </c>
      <c r="I15" s="54"/>
      <c r="J15" s="55">
        <f>J152</f>
        <v>2256431635.6594682</v>
      </c>
      <c r="K15" s="55">
        <f>K152</f>
        <v>2382750918.0128522</v>
      </c>
      <c r="L15" s="55">
        <f t="shared" ref="L15:N15" si="26">L152</f>
        <v>2501454884.6900001</v>
      </c>
      <c r="M15" s="121">
        <f t="shared" si="13"/>
        <v>1.1085888201345488</v>
      </c>
      <c r="N15" s="55">
        <f t="shared" si="26"/>
        <v>357225951.73000002</v>
      </c>
      <c r="O15" s="121">
        <f t="shared" si="5"/>
        <v>0.15831454677579745</v>
      </c>
      <c r="P15" s="56">
        <f>P152</f>
        <v>1953049430.26</v>
      </c>
      <c r="Q15" s="57">
        <f t="shared" si="14"/>
        <v>0.86554779652750202</v>
      </c>
      <c r="R15" s="56">
        <f>R152</f>
        <v>1939770623.3799999</v>
      </c>
      <c r="S15" s="57">
        <f t="shared" si="15"/>
        <v>0.85966292650966114</v>
      </c>
      <c r="T15" s="56">
        <f t="shared" ref="T15:X15" si="27">T152</f>
        <v>533555704.00999999</v>
      </c>
      <c r="U15" s="56">
        <f t="shared" si="27"/>
        <v>9695423.129999999</v>
      </c>
      <c r="V15" s="56">
        <f t="shared" si="27"/>
        <v>404877546.62</v>
      </c>
      <c r="W15" s="56">
        <f t="shared" si="27"/>
        <v>103521060.87</v>
      </c>
      <c r="X15" s="56">
        <f t="shared" ca="1" si="27"/>
        <v>6830151.2400000002</v>
      </c>
      <c r="Y15" s="87">
        <f t="shared" ca="1" si="2"/>
        <v>941298522.51999998</v>
      </c>
      <c r="Z15" s="56">
        <f t="shared" si="17"/>
        <v>646772188.00999999</v>
      </c>
      <c r="AA15" s="56">
        <f>AA152</f>
        <v>97888633.166944236</v>
      </c>
      <c r="AB15" s="128">
        <f t="shared" si="18"/>
        <v>4.3382051385897694E-2</v>
      </c>
      <c r="AC15" s="56">
        <f t="shared" si="19"/>
        <v>948128673.75999999</v>
      </c>
      <c r="AD15" s="57">
        <f t="shared" si="20"/>
        <v>0.4201894082569439</v>
      </c>
      <c r="AE15" s="57">
        <v>6.8249609961308555E-3</v>
      </c>
      <c r="AF15" s="56">
        <f t="shared" si="21"/>
        <v>316661012.2794683</v>
      </c>
      <c r="AG15" s="57">
        <f t="shared" si="22"/>
        <v>0.14033707349033886</v>
      </c>
      <c r="AH15" s="57"/>
      <c r="AI15" s="56"/>
      <c r="AJ15" s="233" t="s">
        <v>408</v>
      </c>
      <c r="AK15" s="56">
        <f>AK152</f>
        <v>147458195.82064852</v>
      </c>
      <c r="AL15" s="55">
        <f>AL152</f>
        <v>156951817.54405802</v>
      </c>
      <c r="AM15" s="57">
        <f t="shared" si="9"/>
        <v>6.5870006116691152E-2</v>
      </c>
      <c r="AN15" s="57"/>
      <c r="AO15" s="55">
        <f>AO152</f>
        <v>160041278.54405802</v>
      </c>
      <c r="AP15" s="55">
        <f>AP152</f>
        <v>203666412.54405802</v>
      </c>
      <c r="AQ15" s="55">
        <f>AQ152</f>
        <v>170334656.54405802</v>
      </c>
      <c r="AR15" s="57">
        <f t="shared" si="23"/>
        <v>7.1486555836105761E-2</v>
      </c>
      <c r="AS15" s="57"/>
      <c r="AT15" s="57"/>
      <c r="AU15" s="368">
        <f>AU152</f>
        <v>11632889.058823533</v>
      </c>
      <c r="AV15" s="249"/>
      <c r="AW15" s="244"/>
      <c r="AX15" s="244"/>
      <c r="AY15" s="244"/>
    </row>
    <row r="16" spans="1:51" s="50" customFormat="1" ht="51.75">
      <c r="A16" s="371" t="s">
        <v>289</v>
      </c>
      <c r="B16" s="59" t="s">
        <v>436</v>
      </c>
      <c r="C16" s="60" t="s">
        <v>0</v>
      </c>
      <c r="D16" s="60" t="s">
        <v>1</v>
      </c>
      <c r="E16" s="60"/>
      <c r="F16" s="346">
        <f>F17+F29+F55+F77+F86+F104</f>
        <v>409807622.18692803</v>
      </c>
      <c r="G16" s="346"/>
      <c r="H16" s="346">
        <f>H17+H29+H55+H77+H86+H104</f>
        <v>409807622.33852804</v>
      </c>
      <c r="I16" s="346"/>
      <c r="J16" s="346">
        <f>J17+J29+J55+J77+J86+J104</f>
        <v>409807622.37605202</v>
      </c>
      <c r="K16" s="346">
        <f>K17+K29+K55+K77+K86+K104</f>
        <v>459151878.95125997</v>
      </c>
      <c r="L16" s="346">
        <f t="shared" ref="L16:N16" si="28">L17+L29+L55+L77+L86+L104</f>
        <v>576872134.60000002</v>
      </c>
      <c r="M16" s="123">
        <f>L16/J16</f>
        <v>1.4076657023979033</v>
      </c>
      <c r="N16" s="346">
        <f t="shared" si="28"/>
        <v>181473589.42999998</v>
      </c>
      <c r="O16" s="123">
        <f t="shared" si="5"/>
        <v>0.44282629097482784</v>
      </c>
      <c r="P16" s="61">
        <f>P17+P29+P55+P77+P86+P104</f>
        <v>392134278.05999994</v>
      </c>
      <c r="Q16" s="62">
        <f t="shared" si="14"/>
        <v>0.95687404686720423</v>
      </c>
      <c r="R16" s="61">
        <f>R17+R29+R55+R77+R86+R104</f>
        <v>391149774.02999997</v>
      </c>
      <c r="S16" s="62">
        <f t="shared" si="15"/>
        <v>0.95447169030708989</v>
      </c>
      <c r="T16" s="61">
        <f t="shared" ref="T16:X16" si="29">T17+T29+T55+T77+T86+T104</f>
        <v>233757468.81999993</v>
      </c>
      <c r="U16" s="61">
        <f t="shared" si="29"/>
        <v>0</v>
      </c>
      <c r="V16" s="61">
        <f t="shared" si="29"/>
        <v>23307132.310000002</v>
      </c>
      <c r="W16" s="61">
        <f t="shared" si="29"/>
        <v>1869272.0499999993</v>
      </c>
      <c r="X16" s="61">
        <f t="shared" si="29"/>
        <v>37807.360000000001</v>
      </c>
      <c r="Y16" s="61">
        <f t="shared" si="2"/>
        <v>257026793.76999998</v>
      </c>
      <c r="Z16" s="61">
        <f t="shared" si="17"/>
        <v>235626740.86999995</v>
      </c>
      <c r="AA16" s="61">
        <f>AA17+AA29+AA55+AA77+AA86+AA104</f>
        <v>3327297.68</v>
      </c>
      <c r="AB16" s="130">
        <f t="shared" si="18"/>
        <v>8.1191698209721677E-3</v>
      </c>
      <c r="AC16" s="61">
        <f>AC17+AC29+AC55+AC77+AC86+AC104</f>
        <v>257064601.13</v>
      </c>
      <c r="AD16" s="62">
        <f t="shared" si="20"/>
        <v>0.62728116094948971</v>
      </c>
      <c r="AE16" s="130">
        <v>2.7874582035421506E-3</v>
      </c>
      <c r="AF16" s="61">
        <f t="shared" si="21"/>
        <v>18657848.346052051</v>
      </c>
      <c r="AG16" s="62">
        <f t="shared" si="22"/>
        <v>4.55283096929101E-2</v>
      </c>
      <c r="AH16" s="63"/>
      <c r="AI16" s="216"/>
      <c r="AJ16" s="236" t="s">
        <v>408</v>
      </c>
      <c r="AK16" s="61">
        <f>AK17+AK29+AK55+AK77+AK86+AK104</f>
        <v>30474860.137943044</v>
      </c>
      <c r="AL16" s="61">
        <f>AL17+AL29+AL55+AL77+AL86+AL104</f>
        <v>35347029.270906001</v>
      </c>
      <c r="AM16" s="63">
        <f>AL16/K16</f>
        <v>7.6983305288092205E-2</v>
      </c>
      <c r="AN16" s="63"/>
      <c r="AO16" s="61">
        <f>AO17+AO29+AO55+AO77+AO86+AO104</f>
        <v>34847029.270906001</v>
      </c>
      <c r="AP16" s="61">
        <f>AP17+AP29+AP55+AP77+AP86+AP104</f>
        <v>40287101.270905994</v>
      </c>
      <c r="AQ16" s="61">
        <f>AQ17+AQ29+AQ55+AQ77+AQ86+AQ104</f>
        <v>36847029.270905994</v>
      </c>
      <c r="AR16" s="63">
        <f t="shared" si="23"/>
        <v>8.0250198158978658E-2</v>
      </c>
      <c r="AS16" s="63"/>
      <c r="AT16" s="63"/>
      <c r="AU16" s="372">
        <f>AU17+AU29+AU55+AU77+AU86+AU104</f>
        <v>0</v>
      </c>
      <c r="AV16" s="251"/>
      <c r="AW16" s="244"/>
      <c r="AX16" s="244"/>
      <c r="AY16" s="244"/>
    </row>
    <row r="17" spans="1:51" s="50" customFormat="1" ht="33">
      <c r="A17" s="373" t="s">
        <v>2</v>
      </c>
      <c r="B17" s="64" t="s">
        <v>437</v>
      </c>
      <c r="C17" s="65" t="s">
        <v>0</v>
      </c>
      <c r="D17" s="65"/>
      <c r="E17" s="65"/>
      <c r="F17" s="347">
        <f>F18+F22</f>
        <v>82126550.088007987</v>
      </c>
      <c r="G17" s="347"/>
      <c r="H17" s="347">
        <f>H18+H22</f>
        <v>82126550.392023996</v>
      </c>
      <c r="I17" s="347"/>
      <c r="J17" s="347">
        <f>J18+J22</f>
        <v>82126550.392023996</v>
      </c>
      <c r="K17" s="347">
        <f>K18+K22</f>
        <v>91518201.571359992</v>
      </c>
      <c r="L17" s="347">
        <f t="shared" ref="L17:N17" si="30">L18+L22</f>
        <v>165720218.59999999</v>
      </c>
      <c r="M17" s="124">
        <f>L17/J17</f>
        <v>2.0178641110450743</v>
      </c>
      <c r="N17" s="347">
        <f t="shared" si="30"/>
        <v>88963015.530000001</v>
      </c>
      <c r="O17" s="121">
        <f t="shared" si="5"/>
        <v>1.0832430572737164</v>
      </c>
      <c r="P17" s="66">
        <f>P18+P22</f>
        <v>76448191.069999993</v>
      </c>
      <c r="Q17" s="67">
        <f t="shared" si="14"/>
        <v>0.93085842160764276</v>
      </c>
      <c r="R17" s="66">
        <f>R18+R22</f>
        <v>76269418.069999993</v>
      </c>
      <c r="S17" s="67">
        <f t="shared" si="15"/>
        <v>0.92868162251956898</v>
      </c>
      <c r="T17" s="66">
        <f t="shared" ref="T17:X17" si="31">T18+T22</f>
        <v>39417469.899999999</v>
      </c>
      <c r="U17" s="66">
        <f t="shared" si="31"/>
        <v>0</v>
      </c>
      <c r="V17" s="66">
        <f t="shared" si="31"/>
        <v>15045689.25</v>
      </c>
      <c r="W17" s="66">
        <f t="shared" si="31"/>
        <v>281652.64999999932</v>
      </c>
      <c r="X17" s="66">
        <f t="shared" si="31"/>
        <v>0</v>
      </c>
      <c r="Y17" s="66">
        <f t="shared" si="2"/>
        <v>54463159.149999999</v>
      </c>
      <c r="Z17" s="117">
        <f t="shared" si="17"/>
        <v>39699122.549999997</v>
      </c>
      <c r="AA17" s="66">
        <f>AA18+AA22</f>
        <v>309012</v>
      </c>
      <c r="AB17" s="128">
        <f t="shared" si="18"/>
        <v>3.7626321637151188E-3</v>
      </c>
      <c r="AC17" s="66">
        <f>AC18+AC22</f>
        <v>54463159.149999999</v>
      </c>
      <c r="AD17" s="67">
        <f t="shared" si="20"/>
        <v>0.66316141235720738</v>
      </c>
      <c r="AE17" s="133">
        <f>AE18+AE22</f>
        <v>1.8471449098298922E-3</v>
      </c>
      <c r="AF17" s="56">
        <f t="shared" si="21"/>
        <v>5857132.3220240027</v>
      </c>
      <c r="AG17" s="57">
        <f t="shared" si="22"/>
        <v>7.1318377480430961E-2</v>
      </c>
      <c r="AH17" s="119"/>
      <c r="AI17" s="217"/>
      <c r="AJ17" s="237" t="s">
        <v>408</v>
      </c>
      <c r="AK17" s="66">
        <f>AK18+AK22</f>
        <v>3862526</v>
      </c>
      <c r="AL17" s="66">
        <f>AL18+AL22</f>
        <v>4463145.5571360001</v>
      </c>
      <c r="AM17" s="206">
        <f>AL17/K17</f>
        <v>4.8767845964017627E-2</v>
      </c>
      <c r="AN17" s="86"/>
      <c r="AO17" s="66">
        <f>AO18+AO22</f>
        <v>4463145.5571360001</v>
      </c>
      <c r="AP17" s="66">
        <f>AP18+AP22</f>
        <v>4463145.5571360001</v>
      </c>
      <c r="AQ17" s="66">
        <f>AQ18+AQ22</f>
        <v>4463145.5571360001</v>
      </c>
      <c r="AR17" s="206">
        <f t="shared" si="23"/>
        <v>4.8767845964017627E-2</v>
      </c>
      <c r="AS17" s="119"/>
      <c r="AT17" s="119"/>
      <c r="AU17" s="374"/>
      <c r="AV17" s="25"/>
      <c r="AW17" s="244"/>
      <c r="AX17" s="244"/>
      <c r="AY17" s="244"/>
    </row>
    <row r="18" spans="1:51" s="50" customFormat="1" ht="49.5">
      <c r="A18" s="373" t="s">
        <v>3</v>
      </c>
      <c r="B18" s="64" t="s">
        <v>438</v>
      </c>
      <c r="C18" s="65" t="s">
        <v>0</v>
      </c>
      <c r="D18" s="65"/>
      <c r="E18" s="65"/>
      <c r="F18" s="347">
        <f>SUM(F19:F21)</f>
        <v>38625269.394827999</v>
      </c>
      <c r="G18" s="347"/>
      <c r="H18" s="347">
        <f>SUM(H19:H21)</f>
        <v>38625269.394827999</v>
      </c>
      <c r="I18" s="347"/>
      <c r="J18" s="347">
        <f>SUM(J19:J21)</f>
        <v>38625269.394827999</v>
      </c>
      <c r="K18" s="347">
        <f>SUM(K19:K21)</f>
        <v>44631455.571359999</v>
      </c>
      <c r="L18" s="347">
        <f t="shared" ref="L18:N18" si="32">SUM(L19:L21)</f>
        <v>122358326.53</v>
      </c>
      <c r="M18" s="124">
        <f>L18/J18</f>
        <v>3.1678310196170187</v>
      </c>
      <c r="N18" s="347">
        <f t="shared" si="32"/>
        <v>88940479.530000001</v>
      </c>
      <c r="O18" s="121">
        <f t="shared" si="5"/>
        <v>2.3026500765819722</v>
      </c>
      <c r="P18" s="66">
        <f>SUM(P19:P21)</f>
        <v>33417847</v>
      </c>
      <c r="Q18" s="67">
        <f t="shared" si="14"/>
        <v>0.86518094303504633</v>
      </c>
      <c r="R18" s="66">
        <f>SUM(R19:R21)</f>
        <v>33417847</v>
      </c>
      <c r="S18" s="67">
        <f t="shared" si="15"/>
        <v>0.86518094303504633</v>
      </c>
      <c r="T18" s="66">
        <f t="shared" ref="T18:X18" si="33">SUM(T19:T21)</f>
        <v>18258088.719999999</v>
      </c>
      <c r="U18" s="66">
        <f t="shared" si="33"/>
        <v>0</v>
      </c>
      <c r="V18" s="66">
        <f t="shared" si="33"/>
        <v>6783360.3799999999</v>
      </c>
      <c r="W18" s="66">
        <f t="shared" si="33"/>
        <v>0</v>
      </c>
      <c r="X18" s="66">
        <f t="shared" si="33"/>
        <v>0</v>
      </c>
      <c r="Y18" s="66">
        <f t="shared" si="2"/>
        <v>25041449.099999998</v>
      </c>
      <c r="Z18" s="117">
        <f t="shared" si="17"/>
        <v>18258088.719999999</v>
      </c>
      <c r="AA18" s="66">
        <f>SUM(AA19:AA21)</f>
        <v>0</v>
      </c>
      <c r="AB18" s="128">
        <f t="shared" si="18"/>
        <v>0</v>
      </c>
      <c r="AC18" s="66">
        <f>SUM(AC19:AC21)</f>
        <v>25041449.099999998</v>
      </c>
      <c r="AD18" s="67">
        <f t="shared" si="20"/>
        <v>0.64831778502373627</v>
      </c>
      <c r="AE18" s="133">
        <f>SUM(AE19:AE21)</f>
        <v>1.1810462945155231E-3</v>
      </c>
      <c r="AF18" s="56">
        <f t="shared" si="21"/>
        <v>5207422.3948279992</v>
      </c>
      <c r="AG18" s="57">
        <f t="shared" si="22"/>
        <v>0.13481905696495372</v>
      </c>
      <c r="AH18" s="119"/>
      <c r="AI18" s="217"/>
      <c r="AJ18" s="237" t="s">
        <v>408</v>
      </c>
      <c r="AK18" s="66">
        <f>SUM(AK19:AK21)</f>
        <v>3862526</v>
      </c>
      <c r="AL18" s="66">
        <f>SUM(AL19:AL21)</f>
        <v>4463145.5571360001</v>
      </c>
      <c r="AM18" s="206">
        <f>AL18/K18</f>
        <v>0.1</v>
      </c>
      <c r="AN18" s="86"/>
      <c r="AO18" s="66">
        <f>SUM(AO19:AO21)</f>
        <v>4463145.5571360001</v>
      </c>
      <c r="AP18" s="66">
        <f>SUM(AP19:AP21)</f>
        <v>4463145.5571360001</v>
      </c>
      <c r="AQ18" s="66">
        <f>SUM(AQ19:AQ21)</f>
        <v>4463145.5571360001</v>
      </c>
      <c r="AR18" s="206">
        <f t="shared" si="23"/>
        <v>0.1</v>
      </c>
      <c r="AS18" s="119"/>
      <c r="AT18" s="119"/>
      <c r="AU18" s="374"/>
      <c r="AV18" s="25"/>
      <c r="AW18" s="244"/>
      <c r="AX18" s="244"/>
      <c r="AY18" s="244"/>
    </row>
    <row r="19" spans="1:51" ht="84" customHeight="1">
      <c r="A19" s="375" t="s">
        <v>4</v>
      </c>
      <c r="B19" s="69" t="s">
        <v>446</v>
      </c>
      <c r="C19" s="70" t="s">
        <v>0</v>
      </c>
      <c r="D19" s="70" t="s">
        <v>5</v>
      </c>
      <c r="E19" s="70"/>
      <c r="F19" s="348">
        <v>0</v>
      </c>
      <c r="G19" s="348"/>
      <c r="H19" s="348">
        <v>0</v>
      </c>
      <c r="I19" s="348"/>
      <c r="J19" s="348">
        <v>0</v>
      </c>
      <c r="K19" s="348">
        <v>0</v>
      </c>
      <c r="L19" s="348"/>
      <c r="M19" s="125"/>
      <c r="N19" s="348"/>
      <c r="O19" s="127"/>
      <c r="P19" s="348">
        <v>0</v>
      </c>
      <c r="Q19" s="73">
        <v>0</v>
      </c>
      <c r="R19" s="76">
        <v>0</v>
      </c>
      <c r="S19" s="73">
        <v>0</v>
      </c>
      <c r="T19" s="109">
        <v>0</v>
      </c>
      <c r="U19" s="109">
        <v>0</v>
      </c>
      <c r="V19" s="109">
        <v>0</v>
      </c>
      <c r="W19" s="109">
        <v>0</v>
      </c>
      <c r="X19" s="109">
        <v>0</v>
      </c>
      <c r="Y19" s="76">
        <f>AC19-X19</f>
        <v>0</v>
      </c>
      <c r="Z19" s="77">
        <f t="shared" si="17"/>
        <v>0</v>
      </c>
      <c r="AA19" s="76">
        <v>0</v>
      </c>
      <c r="AB19" s="125"/>
      <c r="AC19" s="77">
        <f>SUM(T19:V19)</f>
        <v>0</v>
      </c>
      <c r="AD19" s="73">
        <v>0</v>
      </c>
      <c r="AE19" s="125"/>
      <c r="AF19" s="125"/>
      <c r="AG19" s="125"/>
      <c r="AH19" s="144"/>
      <c r="AI19" s="163"/>
      <c r="AJ19" s="238" t="s">
        <v>409</v>
      </c>
      <c r="AK19" s="77">
        <v>0</v>
      </c>
      <c r="AL19" s="77">
        <v>0</v>
      </c>
      <c r="AM19" s="125">
        <v>0</v>
      </c>
      <c r="AN19" s="82"/>
      <c r="AO19" s="348">
        <v>0</v>
      </c>
      <c r="AP19" s="120"/>
      <c r="AQ19" s="120"/>
      <c r="AR19" s="125">
        <v>0</v>
      </c>
      <c r="AS19" s="120"/>
      <c r="AT19" s="120"/>
      <c r="AU19" s="376"/>
      <c r="AV19" s="252"/>
      <c r="AW19" s="42"/>
      <c r="AX19" s="42"/>
      <c r="AY19" s="42"/>
    </row>
    <row r="20" spans="1:51" ht="153" customHeight="1">
      <c r="A20" s="377" t="s">
        <v>236</v>
      </c>
      <c r="B20" s="345" t="s">
        <v>447</v>
      </c>
      <c r="C20" s="178" t="s">
        <v>0</v>
      </c>
      <c r="D20" s="178" t="s">
        <v>5</v>
      </c>
      <c r="E20" s="178"/>
      <c r="F20" s="349">
        <v>38625269.394827999</v>
      </c>
      <c r="G20" s="349"/>
      <c r="H20" s="349">
        <v>38625269.394827999</v>
      </c>
      <c r="I20" s="349"/>
      <c r="J20" s="349">
        <f>H20</f>
        <v>38625269.394827999</v>
      </c>
      <c r="K20" s="349">
        <v>44631455.571359999</v>
      </c>
      <c r="L20" s="349">
        <v>122358326.53</v>
      </c>
      <c r="M20" s="179">
        <f>L20/J20</f>
        <v>3.1678310196170187</v>
      </c>
      <c r="N20" s="349">
        <v>88940479.530000001</v>
      </c>
      <c r="O20" s="180">
        <f t="shared" si="5"/>
        <v>2.3026500765819722</v>
      </c>
      <c r="P20" s="349">
        <v>33417847</v>
      </c>
      <c r="Q20" s="181">
        <f>P20/J20</f>
        <v>0.86518094303504633</v>
      </c>
      <c r="R20" s="182">
        <v>33417847</v>
      </c>
      <c r="S20" s="181">
        <f>R20/J20</f>
        <v>0.86518094303504633</v>
      </c>
      <c r="T20" s="182">
        <v>18258088.719999999</v>
      </c>
      <c r="U20" s="183">
        <v>0</v>
      </c>
      <c r="V20" s="182">
        <v>6783360.3799999999</v>
      </c>
      <c r="W20" s="182">
        <v>0</v>
      </c>
      <c r="X20" s="182">
        <v>0</v>
      </c>
      <c r="Y20" s="182">
        <f t="shared" si="2"/>
        <v>25041449.099999998</v>
      </c>
      <c r="Z20" s="184">
        <f t="shared" si="17"/>
        <v>18258088.719999999</v>
      </c>
      <c r="AA20" s="184"/>
      <c r="AB20" s="179"/>
      <c r="AC20" s="184">
        <f t="shared" ref="AC20" si="34">SUM(T20:V20)</f>
        <v>25041449.099999998</v>
      </c>
      <c r="AD20" s="181">
        <f>AC20/J20</f>
        <v>0.64831778502373627</v>
      </c>
      <c r="AE20" s="179">
        <v>1.1810462945155231E-3</v>
      </c>
      <c r="AF20" s="185">
        <f>J20-R20</f>
        <v>5207422.3948279992</v>
      </c>
      <c r="AG20" s="186">
        <f>AF20/J20</f>
        <v>0.13481905696495372</v>
      </c>
      <c r="AH20" s="187" t="s">
        <v>335</v>
      </c>
      <c r="AI20" s="218"/>
      <c r="AJ20" s="239" t="s">
        <v>408</v>
      </c>
      <c r="AK20" s="349">
        <v>3862526</v>
      </c>
      <c r="AL20" s="349">
        <f>K20*10%</f>
        <v>4463145.5571360001</v>
      </c>
      <c r="AM20" s="179">
        <f>AL20/K20</f>
        <v>0.1</v>
      </c>
      <c r="AN20" s="188" t="s">
        <v>432</v>
      </c>
      <c r="AO20" s="349">
        <v>4463145.5571360001</v>
      </c>
      <c r="AP20" s="182">
        <f>AL20</f>
        <v>4463145.5571360001</v>
      </c>
      <c r="AQ20" s="182">
        <f>AL20</f>
        <v>4463145.5571360001</v>
      </c>
      <c r="AR20" s="179">
        <f t="shared" ref="AR20:AR83" si="35">AQ20/K20</f>
        <v>0.1</v>
      </c>
      <c r="AS20" s="189" t="s">
        <v>433</v>
      </c>
      <c r="AT20" s="189" t="s">
        <v>709</v>
      </c>
      <c r="AU20" s="378"/>
      <c r="AV20" s="253"/>
    </row>
    <row r="21" spans="1:51" ht="50.45" customHeight="1">
      <c r="A21" s="375" t="s">
        <v>6</v>
      </c>
      <c r="B21" s="69" t="s">
        <v>448</v>
      </c>
      <c r="C21" s="70" t="s">
        <v>0</v>
      </c>
      <c r="D21" s="70" t="s">
        <v>5</v>
      </c>
      <c r="E21" s="70"/>
      <c r="F21" s="348">
        <v>0</v>
      </c>
      <c r="G21" s="348"/>
      <c r="H21" s="348">
        <v>0</v>
      </c>
      <c r="I21" s="348"/>
      <c r="J21" s="348">
        <v>0</v>
      </c>
      <c r="K21" s="348">
        <v>0</v>
      </c>
      <c r="L21" s="348"/>
      <c r="M21" s="125"/>
      <c r="N21" s="348"/>
      <c r="O21" s="127"/>
      <c r="P21" s="348">
        <v>0</v>
      </c>
      <c r="Q21" s="73">
        <v>0</v>
      </c>
      <c r="R21" s="76">
        <v>0</v>
      </c>
      <c r="S21" s="73">
        <v>0</v>
      </c>
      <c r="T21" s="109">
        <v>0</v>
      </c>
      <c r="U21" s="109">
        <v>0</v>
      </c>
      <c r="V21" s="109">
        <v>0</v>
      </c>
      <c r="W21" s="109">
        <v>0</v>
      </c>
      <c r="X21" s="109">
        <v>0</v>
      </c>
      <c r="Y21" s="76">
        <f t="shared" si="2"/>
        <v>0</v>
      </c>
      <c r="Z21" s="77">
        <f t="shared" si="17"/>
        <v>0</v>
      </c>
      <c r="AA21" s="77"/>
      <c r="AB21" s="125"/>
      <c r="AC21" s="77">
        <f>SUM(T21:V21)</f>
        <v>0</v>
      </c>
      <c r="AD21" s="73">
        <v>0</v>
      </c>
      <c r="AE21" s="125"/>
      <c r="AF21" s="125"/>
      <c r="AG21" s="167">
        <v>0</v>
      </c>
      <c r="AH21" s="145"/>
      <c r="AI21" s="147"/>
      <c r="AJ21" s="238" t="s">
        <v>409</v>
      </c>
      <c r="AK21" s="77">
        <v>0</v>
      </c>
      <c r="AL21" s="77">
        <v>0</v>
      </c>
      <c r="AM21" s="125">
        <v>0</v>
      </c>
      <c r="AN21" s="82"/>
      <c r="AO21" s="77">
        <v>0</v>
      </c>
      <c r="AP21" s="120"/>
      <c r="AQ21" s="120"/>
      <c r="AR21" s="125" t="e">
        <f t="shared" si="35"/>
        <v>#DIV/0!</v>
      </c>
      <c r="AS21" s="120"/>
      <c r="AT21" s="120"/>
      <c r="AU21" s="379"/>
      <c r="AV21" s="254"/>
      <c r="AW21" s="42"/>
      <c r="AX21" s="42"/>
      <c r="AY21" s="42"/>
    </row>
    <row r="22" spans="1:51" s="50" customFormat="1" ht="33.6" customHeight="1">
      <c r="A22" s="373" t="s">
        <v>7</v>
      </c>
      <c r="B22" s="64" t="s">
        <v>449</v>
      </c>
      <c r="C22" s="65" t="s">
        <v>0</v>
      </c>
      <c r="D22" s="65" t="s">
        <v>5</v>
      </c>
      <c r="E22" s="65"/>
      <c r="F22" s="347">
        <f>F23+F26</f>
        <v>43501280.693179995</v>
      </c>
      <c r="G22" s="347"/>
      <c r="H22" s="347">
        <f>H23+H26</f>
        <v>43501280.997195996</v>
      </c>
      <c r="I22" s="347"/>
      <c r="J22" s="347">
        <f>J23+J26</f>
        <v>43501280.997195996</v>
      </c>
      <c r="K22" s="347">
        <f>K23+K26</f>
        <v>46886746</v>
      </c>
      <c r="L22" s="347">
        <f t="shared" ref="L22:N22" si="36">L23+L26</f>
        <v>43361892.07</v>
      </c>
      <c r="M22" s="124">
        <f>L22/J22</f>
        <v>0.99679575120546493</v>
      </c>
      <c r="N22" s="347">
        <f t="shared" si="36"/>
        <v>22536</v>
      </c>
      <c r="O22" s="121">
        <f t="shared" si="5"/>
        <v>5.1805370976207863E-4</v>
      </c>
      <c r="P22" s="66">
        <f>P23+P26</f>
        <v>43030344.07</v>
      </c>
      <c r="Q22" s="67">
        <f t="shared" ref="Q22:Q27" si="37">P22/J22</f>
        <v>0.9891741825435818</v>
      </c>
      <c r="R22" s="66">
        <f>R23+R26</f>
        <v>42851571.07</v>
      </c>
      <c r="S22" s="67">
        <f t="shared" ref="S22:S27" si="38">R22/J22</f>
        <v>0.98506457942611214</v>
      </c>
      <c r="T22" s="66">
        <f t="shared" ref="T22:W22" si="39">T23+T26</f>
        <v>21159381.18</v>
      </c>
      <c r="U22" s="66">
        <f t="shared" si="39"/>
        <v>0</v>
      </c>
      <c r="V22" s="66">
        <f t="shared" si="39"/>
        <v>8262328.8700000001</v>
      </c>
      <c r="W22" s="66">
        <f t="shared" si="39"/>
        <v>281652.64999999932</v>
      </c>
      <c r="X22" s="66">
        <v>0</v>
      </c>
      <c r="Y22" s="66">
        <f t="shared" si="2"/>
        <v>29421710.050000001</v>
      </c>
      <c r="Z22" s="117">
        <f t="shared" si="17"/>
        <v>21441033.829999998</v>
      </c>
      <c r="AA22" s="66">
        <f>AA23+AA26</f>
        <v>309012</v>
      </c>
      <c r="AB22" s="128">
        <f>AA22/J22</f>
        <v>7.1035149521210253E-3</v>
      </c>
      <c r="AC22" s="66">
        <f>AC23+AC26</f>
        <v>29421710.050000001</v>
      </c>
      <c r="AD22" s="67">
        <f t="shared" ref="AD22:AD27" si="40">AC22/J22</f>
        <v>0.67634123353508746</v>
      </c>
      <c r="AE22" s="133">
        <v>6.6609861531436907E-4</v>
      </c>
      <c r="AF22" s="56">
        <f t="shared" ref="AF22:AF60" si="41">J22-R22</f>
        <v>649709.92719599605</v>
      </c>
      <c r="AG22" s="57">
        <f t="shared" ref="AG22:AG27" si="42">AF22/J22</f>
        <v>1.4935420573887814E-2</v>
      </c>
      <c r="AH22" s="119"/>
      <c r="AI22" s="217"/>
      <c r="AJ22" s="237" t="s">
        <v>409</v>
      </c>
      <c r="AK22" s="347">
        <f>AK23+AK26</f>
        <v>0</v>
      </c>
      <c r="AL22" s="347">
        <f>AL23+AL26</f>
        <v>0</v>
      </c>
      <c r="AM22" s="124">
        <v>0</v>
      </c>
      <c r="AN22" s="86"/>
      <c r="AO22" s="347">
        <v>0</v>
      </c>
      <c r="AP22" s="347">
        <f>AP23+AP26</f>
        <v>0</v>
      </c>
      <c r="AQ22" s="347">
        <f>AQ23+AQ26</f>
        <v>0</v>
      </c>
      <c r="AR22" s="124">
        <f t="shared" si="35"/>
        <v>0</v>
      </c>
      <c r="AS22" s="119"/>
      <c r="AT22" s="119"/>
      <c r="AU22" s="380"/>
      <c r="AV22" s="255"/>
    </row>
    <row r="23" spans="1:51" s="50" customFormat="1" ht="50.45" customHeight="1">
      <c r="A23" s="381" t="s">
        <v>8</v>
      </c>
      <c r="B23" s="74" t="s">
        <v>450</v>
      </c>
      <c r="C23" s="75" t="s">
        <v>0</v>
      </c>
      <c r="D23" s="75" t="s">
        <v>5</v>
      </c>
      <c r="E23" s="75"/>
      <c r="F23" s="348">
        <f>SUM(F24:F25)</f>
        <v>42499785.695983998</v>
      </c>
      <c r="G23" s="348"/>
      <c r="H23" s="348">
        <f>SUM(H24:H25)</f>
        <v>42499786</v>
      </c>
      <c r="I23" s="348"/>
      <c r="J23" s="348">
        <f>SUM(J24:J25)</f>
        <v>42499786</v>
      </c>
      <c r="K23" s="348">
        <f>SUM(K24:K25)</f>
        <v>45885251</v>
      </c>
      <c r="L23" s="348">
        <f t="shared" ref="L23:N23" si="43">SUM(L24:L25)</f>
        <v>42360397.07</v>
      </c>
      <c r="M23" s="125">
        <f>L23/J23</f>
        <v>0.99672024395605197</v>
      </c>
      <c r="N23" s="348">
        <f t="shared" si="43"/>
        <v>22536</v>
      </c>
      <c r="O23" s="127">
        <f t="shared" si="5"/>
        <v>5.3026149355199102E-4</v>
      </c>
      <c r="P23" s="81">
        <f>SUM(P24:P25)</f>
        <v>42028849.07</v>
      </c>
      <c r="Q23" s="73">
        <f t="shared" si="37"/>
        <v>0.9889190752631084</v>
      </c>
      <c r="R23" s="78">
        <f>SUM(R24:R25)</f>
        <v>41850076.07</v>
      </c>
      <c r="S23" s="73">
        <f t="shared" si="38"/>
        <v>0.98471263055301028</v>
      </c>
      <c r="T23" s="78">
        <f t="shared" ref="T23:W23" si="44">SUM(T24:T25)</f>
        <v>21159381.18</v>
      </c>
      <c r="U23" s="78">
        <f t="shared" si="44"/>
        <v>0</v>
      </c>
      <c r="V23" s="78">
        <f t="shared" si="44"/>
        <v>8262328.8700000001</v>
      </c>
      <c r="W23" s="78">
        <f t="shared" si="44"/>
        <v>281652.64999999932</v>
      </c>
      <c r="X23" s="78">
        <v>0</v>
      </c>
      <c r="Y23" s="78">
        <f t="shared" si="2"/>
        <v>29421710.050000001</v>
      </c>
      <c r="Z23" s="113">
        <f t="shared" si="17"/>
        <v>21441033.829999998</v>
      </c>
      <c r="AA23" s="78">
        <f>SUM(AA24:AA25)</f>
        <v>309012</v>
      </c>
      <c r="AB23" s="131">
        <f>AA23/J23</f>
        <v>7.270907199391545E-3</v>
      </c>
      <c r="AC23" s="78">
        <f>SUM(AC24:AC25)</f>
        <v>29421710.050000001</v>
      </c>
      <c r="AD23" s="73">
        <f t="shared" si="40"/>
        <v>0.69227901641669443</v>
      </c>
      <c r="AE23" s="136">
        <f>SUM(AE24:AE25)</f>
        <v>5.1353640360485026E-4</v>
      </c>
      <c r="AF23" s="166">
        <f t="shared" si="41"/>
        <v>649709.9299999997</v>
      </c>
      <c r="AG23" s="167">
        <f t="shared" si="42"/>
        <v>1.5287369446989678E-2</v>
      </c>
      <c r="AH23" s="120"/>
      <c r="AI23" s="82"/>
      <c r="AJ23" s="238" t="s">
        <v>409</v>
      </c>
      <c r="AK23" s="348">
        <v>0</v>
      </c>
      <c r="AL23" s="348">
        <v>0</v>
      </c>
      <c r="AM23" s="125">
        <v>0</v>
      </c>
      <c r="AN23" s="82"/>
      <c r="AO23" s="348">
        <v>0</v>
      </c>
      <c r="AP23" s="120"/>
      <c r="AQ23" s="120"/>
      <c r="AR23" s="125">
        <f t="shared" si="35"/>
        <v>0</v>
      </c>
      <c r="AS23" s="120"/>
      <c r="AT23" s="120"/>
      <c r="AU23" s="382"/>
      <c r="AV23" s="256"/>
    </row>
    <row r="24" spans="1:51" ht="62.45" customHeight="1">
      <c r="A24" s="375" t="s">
        <v>186</v>
      </c>
      <c r="B24" s="69" t="s">
        <v>451</v>
      </c>
      <c r="C24" s="70" t="s">
        <v>0</v>
      </c>
      <c r="D24" s="70" t="s">
        <v>5</v>
      </c>
      <c r="E24" s="70"/>
      <c r="F24" s="348">
        <v>7804604</v>
      </c>
      <c r="G24" s="348"/>
      <c r="H24" s="348">
        <v>7804604</v>
      </c>
      <c r="I24" s="348"/>
      <c r="J24" s="348">
        <v>7804604</v>
      </c>
      <c r="K24" s="348">
        <v>8717031</v>
      </c>
      <c r="L24" s="348">
        <v>7377530.0700000003</v>
      </c>
      <c r="M24" s="125">
        <f t="shared" ref="M24:M25" si="45">L24/J24</f>
        <v>0.94527923133576031</v>
      </c>
      <c r="N24" s="348">
        <v>22536</v>
      </c>
      <c r="O24" s="127">
        <f t="shared" si="5"/>
        <v>2.8875263882703083E-3</v>
      </c>
      <c r="P24" s="348">
        <v>7354994.0700000003</v>
      </c>
      <c r="Q24" s="73">
        <f t="shared" si="37"/>
        <v>0.94239170494749003</v>
      </c>
      <c r="R24" s="76">
        <v>7354994.0700000003</v>
      </c>
      <c r="S24" s="73">
        <f t="shared" si="38"/>
        <v>0.94239170494749003</v>
      </c>
      <c r="T24" s="76">
        <v>3252026.9699999997</v>
      </c>
      <c r="U24" s="109">
        <v>0</v>
      </c>
      <c r="V24" s="76">
        <v>1497169.28</v>
      </c>
      <c r="W24" s="76">
        <v>264888.95</v>
      </c>
      <c r="X24" s="76">
        <v>0</v>
      </c>
      <c r="Y24" s="76">
        <f t="shared" si="2"/>
        <v>4749196.25</v>
      </c>
      <c r="Z24" s="77">
        <f t="shared" si="17"/>
        <v>3516915.92</v>
      </c>
      <c r="AA24" s="77"/>
      <c r="AB24" s="125"/>
      <c r="AC24" s="77">
        <f t="shared" ref="AC24" si="46">SUM(T24:V24)</f>
        <v>4749196.25</v>
      </c>
      <c r="AD24" s="73">
        <f t="shared" si="40"/>
        <v>0.6085121359136223</v>
      </c>
      <c r="AE24" s="125">
        <v>3.6001824027876328E-4</v>
      </c>
      <c r="AF24" s="166">
        <f t="shared" si="41"/>
        <v>449609.9299999997</v>
      </c>
      <c r="AG24" s="167">
        <f t="shared" si="42"/>
        <v>5.7608295052509993E-2</v>
      </c>
      <c r="AH24" s="145" t="s">
        <v>336</v>
      </c>
      <c r="AI24" s="147"/>
      <c r="AJ24" s="238" t="s">
        <v>409</v>
      </c>
      <c r="AK24" s="348">
        <v>0</v>
      </c>
      <c r="AL24" s="348">
        <v>0</v>
      </c>
      <c r="AM24" s="125">
        <v>0</v>
      </c>
      <c r="AN24" s="82"/>
      <c r="AO24" s="348">
        <v>0</v>
      </c>
      <c r="AP24" s="120"/>
      <c r="AQ24" s="120"/>
      <c r="AR24" s="125">
        <f t="shared" si="35"/>
        <v>0</v>
      </c>
      <c r="AS24" s="120"/>
      <c r="AT24" s="120"/>
      <c r="AU24" s="382"/>
      <c r="AV24" s="256"/>
      <c r="AW24" s="42"/>
      <c r="AX24" s="42"/>
      <c r="AY24" s="42"/>
    </row>
    <row r="25" spans="1:51" ht="109.15" customHeight="1">
      <c r="A25" s="375" t="s">
        <v>207</v>
      </c>
      <c r="B25" s="69" t="s">
        <v>452</v>
      </c>
      <c r="C25" s="70" t="s">
        <v>0</v>
      </c>
      <c r="D25" s="70" t="s">
        <v>5</v>
      </c>
      <c r="E25" s="70"/>
      <c r="F25" s="348">
        <v>34695181.695983998</v>
      </c>
      <c r="G25" s="348"/>
      <c r="H25" s="348">
        <v>34695182</v>
      </c>
      <c r="I25" s="348"/>
      <c r="J25" s="348">
        <v>34695182</v>
      </c>
      <c r="K25" s="348">
        <v>37168220</v>
      </c>
      <c r="L25" s="348">
        <v>34982867</v>
      </c>
      <c r="M25" s="125">
        <f t="shared" si="45"/>
        <v>1.0082917852974513</v>
      </c>
      <c r="N25" s="348"/>
      <c r="O25" s="127">
        <f t="shared" si="5"/>
        <v>0</v>
      </c>
      <c r="P25" s="78">
        <v>34673855</v>
      </c>
      <c r="Q25" s="73">
        <f t="shared" si="37"/>
        <v>0.99938530370009304</v>
      </c>
      <c r="R25" s="78">
        <v>34495082</v>
      </c>
      <c r="S25" s="73">
        <f t="shared" si="38"/>
        <v>0.99423262861108497</v>
      </c>
      <c r="T25" s="76">
        <v>17907354.210000001</v>
      </c>
      <c r="U25" s="109">
        <v>0</v>
      </c>
      <c r="V25" s="76">
        <v>6765159.5899999999</v>
      </c>
      <c r="W25" s="76">
        <v>16763.699999999299</v>
      </c>
      <c r="X25" s="76">
        <v>0</v>
      </c>
      <c r="Y25" s="76">
        <f t="shared" si="2"/>
        <v>24672513.800000001</v>
      </c>
      <c r="Z25" s="77">
        <f t="shared" si="17"/>
        <v>17924117.91</v>
      </c>
      <c r="AA25" s="77">
        <v>309012</v>
      </c>
      <c r="AB25" s="131">
        <f>AA25/J25</f>
        <v>8.9064815973583875E-3</v>
      </c>
      <c r="AC25" s="77">
        <f>SUM(T25:V25)</f>
        <v>24672513.800000001</v>
      </c>
      <c r="AD25" s="73">
        <f t="shared" si="40"/>
        <v>0.71112218981874775</v>
      </c>
      <c r="AE25" s="125">
        <v>1.5351816332608701E-4</v>
      </c>
      <c r="AF25" s="166">
        <f t="shared" si="41"/>
        <v>200100</v>
      </c>
      <c r="AG25" s="167">
        <f t="shared" si="42"/>
        <v>5.7673713889150376E-3</v>
      </c>
      <c r="AH25" s="145" t="s">
        <v>337</v>
      </c>
      <c r="AI25" s="147"/>
      <c r="AJ25" s="238" t="s">
        <v>409</v>
      </c>
      <c r="AK25" s="348">
        <v>0</v>
      </c>
      <c r="AL25" s="348">
        <v>0</v>
      </c>
      <c r="AM25" s="125">
        <v>0</v>
      </c>
      <c r="AN25" s="82"/>
      <c r="AO25" s="348">
        <v>0</v>
      </c>
      <c r="AP25" s="120"/>
      <c r="AQ25" s="120"/>
      <c r="AR25" s="125">
        <f t="shared" si="35"/>
        <v>0</v>
      </c>
      <c r="AS25" s="120"/>
      <c r="AT25" s="120"/>
      <c r="AU25" s="382"/>
      <c r="AV25" s="256"/>
      <c r="AW25" s="42"/>
      <c r="AX25" s="42"/>
      <c r="AY25" s="42"/>
    </row>
    <row r="26" spans="1:51" s="50" customFormat="1" ht="50.45" customHeight="1">
      <c r="A26" s="381" t="s">
        <v>9</v>
      </c>
      <c r="B26" s="74" t="s">
        <v>453</v>
      </c>
      <c r="C26" s="75" t="s">
        <v>0</v>
      </c>
      <c r="D26" s="75" t="s">
        <v>5</v>
      </c>
      <c r="E26" s="75"/>
      <c r="F26" s="348">
        <f>SUM(F27:F28)</f>
        <v>1001494.997196</v>
      </c>
      <c r="G26" s="348"/>
      <c r="H26" s="348">
        <f>SUM(H27:H28)</f>
        <v>1001494.997196</v>
      </c>
      <c r="I26" s="348"/>
      <c r="J26" s="348">
        <f>SUM(J27:J28)</f>
        <v>1001494.997196</v>
      </c>
      <c r="K26" s="348">
        <f>SUM(K27:K28)</f>
        <v>1001495</v>
      </c>
      <c r="L26" s="348">
        <f t="shared" ref="L26:N26" si="47">SUM(L27:L28)</f>
        <v>1001495</v>
      </c>
      <c r="M26" s="125">
        <f>L26/J26</f>
        <v>1.0000000027998144</v>
      </c>
      <c r="N26" s="348">
        <f t="shared" si="47"/>
        <v>0</v>
      </c>
      <c r="O26" s="127">
        <f t="shared" si="5"/>
        <v>0</v>
      </c>
      <c r="P26" s="348">
        <v>1001495</v>
      </c>
      <c r="Q26" s="73">
        <f t="shared" si="37"/>
        <v>1.0000000027998144</v>
      </c>
      <c r="R26" s="348">
        <v>1001495</v>
      </c>
      <c r="S26" s="73">
        <f t="shared" si="38"/>
        <v>1.0000000027998144</v>
      </c>
      <c r="T26" s="78">
        <v>0</v>
      </c>
      <c r="U26" s="78">
        <v>0</v>
      </c>
      <c r="V26" s="78">
        <v>0</v>
      </c>
      <c r="W26" s="78">
        <v>0</v>
      </c>
      <c r="X26" s="78">
        <v>0</v>
      </c>
      <c r="Y26" s="78">
        <f t="shared" si="2"/>
        <v>0</v>
      </c>
      <c r="Z26" s="348">
        <f>SUM(Z27:Z28)</f>
        <v>0</v>
      </c>
      <c r="AA26" s="348">
        <f>SUM(AA27:AA28)</f>
        <v>0</v>
      </c>
      <c r="AB26" s="125"/>
      <c r="AC26" s="113">
        <f>SUM(T26:V26)</f>
        <v>0</v>
      </c>
      <c r="AD26" s="73">
        <f t="shared" si="40"/>
        <v>0</v>
      </c>
      <c r="AE26" s="125"/>
      <c r="AF26" s="166">
        <f t="shared" si="41"/>
        <v>-2.8040000470355153E-3</v>
      </c>
      <c r="AG26" s="167">
        <f t="shared" si="42"/>
        <v>-2.7998143324591684E-9</v>
      </c>
      <c r="AH26" s="120"/>
      <c r="AI26" s="82"/>
      <c r="AJ26" s="238" t="s">
        <v>409</v>
      </c>
      <c r="AK26" s="348">
        <v>0</v>
      </c>
      <c r="AL26" s="348">
        <v>0</v>
      </c>
      <c r="AM26" s="125">
        <v>0</v>
      </c>
      <c r="AN26" s="82"/>
      <c r="AO26" s="348">
        <v>0</v>
      </c>
      <c r="AP26" s="120"/>
      <c r="AQ26" s="120"/>
      <c r="AR26" s="125">
        <f t="shared" si="35"/>
        <v>0</v>
      </c>
      <c r="AS26" s="120"/>
      <c r="AT26" s="120"/>
      <c r="AU26" s="382"/>
      <c r="AV26" s="256"/>
    </row>
    <row r="27" spans="1:51" ht="187.15" customHeight="1">
      <c r="A27" s="375" t="s">
        <v>10</v>
      </c>
      <c r="B27" s="69" t="s">
        <v>435</v>
      </c>
      <c r="C27" s="70" t="s">
        <v>0</v>
      </c>
      <c r="D27" s="70" t="s">
        <v>5</v>
      </c>
      <c r="E27" s="70"/>
      <c r="F27" s="348">
        <v>1001494.997196</v>
      </c>
      <c r="G27" s="348"/>
      <c r="H27" s="348">
        <v>1001494.997196</v>
      </c>
      <c r="I27" s="348"/>
      <c r="J27" s="348">
        <v>1001494.997196</v>
      </c>
      <c r="K27" s="348">
        <v>1001495</v>
      </c>
      <c r="L27" s="348">
        <v>1001495</v>
      </c>
      <c r="M27" s="125"/>
      <c r="N27" s="348"/>
      <c r="O27" s="127">
        <f t="shared" si="5"/>
        <v>0</v>
      </c>
      <c r="P27" s="348">
        <v>1001495</v>
      </c>
      <c r="Q27" s="73">
        <f t="shared" si="37"/>
        <v>1.0000000027998144</v>
      </c>
      <c r="R27" s="76">
        <v>1001495</v>
      </c>
      <c r="S27" s="73">
        <f t="shared" si="38"/>
        <v>1.0000000027998144</v>
      </c>
      <c r="T27" s="109">
        <v>0</v>
      </c>
      <c r="U27" s="109">
        <v>0</v>
      </c>
      <c r="V27" s="109">
        <v>0</v>
      </c>
      <c r="W27" s="109">
        <v>0</v>
      </c>
      <c r="X27" s="109">
        <v>0</v>
      </c>
      <c r="Y27" s="76">
        <f t="shared" si="2"/>
        <v>0</v>
      </c>
      <c r="Z27" s="77">
        <f t="shared" si="17"/>
        <v>0</v>
      </c>
      <c r="AA27" s="77"/>
      <c r="AB27" s="125"/>
      <c r="AC27" s="77">
        <f>SUM(T27:V27)</f>
        <v>0</v>
      </c>
      <c r="AD27" s="73">
        <f t="shared" si="40"/>
        <v>0</v>
      </c>
      <c r="AE27" s="125"/>
      <c r="AF27" s="166">
        <f t="shared" si="41"/>
        <v>-2.8040000470355153E-3</v>
      </c>
      <c r="AG27" s="167">
        <f t="shared" si="42"/>
        <v>-2.7998143324591684E-9</v>
      </c>
      <c r="AH27" s="146" t="s">
        <v>338</v>
      </c>
      <c r="AI27" s="219"/>
      <c r="AJ27" s="238" t="s">
        <v>409</v>
      </c>
      <c r="AK27" s="348">
        <v>0</v>
      </c>
      <c r="AL27" s="348">
        <v>0</v>
      </c>
      <c r="AM27" s="125">
        <v>0</v>
      </c>
      <c r="AN27" s="82"/>
      <c r="AO27" s="348">
        <v>0</v>
      </c>
      <c r="AP27" s="120"/>
      <c r="AQ27" s="120"/>
      <c r="AR27" s="125">
        <f t="shared" si="35"/>
        <v>0</v>
      </c>
      <c r="AS27" s="120"/>
      <c r="AT27" s="120"/>
      <c r="AU27" s="382"/>
      <c r="AV27" s="256"/>
      <c r="AW27" s="42"/>
      <c r="AX27" s="42"/>
      <c r="AY27" s="42"/>
    </row>
    <row r="28" spans="1:51" ht="50.45" customHeight="1">
      <c r="A28" s="375" t="s">
        <v>11</v>
      </c>
      <c r="B28" s="69" t="s">
        <v>454</v>
      </c>
      <c r="C28" s="70" t="s">
        <v>0</v>
      </c>
      <c r="D28" s="70" t="s">
        <v>5</v>
      </c>
      <c r="E28" s="70"/>
      <c r="F28" s="348">
        <v>0</v>
      </c>
      <c r="G28" s="348"/>
      <c r="H28" s="348">
        <v>0</v>
      </c>
      <c r="I28" s="348"/>
      <c r="J28" s="348">
        <v>0</v>
      </c>
      <c r="K28" s="348">
        <v>0</v>
      </c>
      <c r="L28" s="348"/>
      <c r="M28" s="125"/>
      <c r="N28" s="348"/>
      <c r="O28" s="127"/>
      <c r="P28" s="348">
        <v>0</v>
      </c>
      <c r="Q28" s="73">
        <v>0</v>
      </c>
      <c r="R28" s="76">
        <v>0</v>
      </c>
      <c r="S28" s="73">
        <v>0</v>
      </c>
      <c r="T28" s="109">
        <v>0</v>
      </c>
      <c r="U28" s="109">
        <v>0</v>
      </c>
      <c r="V28" s="109">
        <v>0</v>
      </c>
      <c r="W28" s="109">
        <v>0</v>
      </c>
      <c r="X28" s="109">
        <v>0</v>
      </c>
      <c r="Y28" s="76">
        <f t="shared" si="2"/>
        <v>0</v>
      </c>
      <c r="Z28" s="77">
        <f t="shared" si="17"/>
        <v>0</v>
      </c>
      <c r="AA28" s="77"/>
      <c r="AB28" s="125"/>
      <c r="AC28" s="77">
        <f>SUM(T28:V28)</f>
        <v>0</v>
      </c>
      <c r="AD28" s="73">
        <v>0</v>
      </c>
      <c r="AE28" s="125"/>
      <c r="AF28" s="166">
        <f t="shared" si="41"/>
        <v>0</v>
      </c>
      <c r="AG28" s="167">
        <v>0</v>
      </c>
      <c r="AH28" s="147"/>
      <c r="AI28" s="147"/>
      <c r="AJ28" s="238" t="s">
        <v>409</v>
      </c>
      <c r="AK28" s="348">
        <v>0</v>
      </c>
      <c r="AL28" s="348">
        <v>0</v>
      </c>
      <c r="AM28" s="125">
        <v>0</v>
      </c>
      <c r="AN28" s="82"/>
      <c r="AO28" s="348">
        <v>0</v>
      </c>
      <c r="AP28" s="120"/>
      <c r="AQ28" s="120"/>
      <c r="AR28" s="125" t="e">
        <f t="shared" si="35"/>
        <v>#DIV/0!</v>
      </c>
      <c r="AS28" s="120"/>
      <c r="AT28" s="120"/>
      <c r="AU28" s="382"/>
      <c r="AV28" s="256"/>
      <c r="AW28" s="42"/>
      <c r="AX28" s="42"/>
      <c r="AY28" s="42"/>
    </row>
    <row r="29" spans="1:51" s="50" customFormat="1" ht="33">
      <c r="A29" s="373" t="s">
        <v>12</v>
      </c>
      <c r="B29" s="64" t="s">
        <v>455</v>
      </c>
      <c r="C29" s="65" t="s">
        <v>0</v>
      </c>
      <c r="D29" s="65" t="s">
        <v>1</v>
      </c>
      <c r="E29" s="65"/>
      <c r="F29" s="347">
        <f>F30+F40</f>
        <v>89810321.973920003</v>
      </c>
      <c r="G29" s="347"/>
      <c r="H29" s="347">
        <f>H30+H40</f>
        <v>89810321.821503997</v>
      </c>
      <c r="I29" s="347"/>
      <c r="J29" s="347">
        <f>J30+J40</f>
        <v>89810321.821503997</v>
      </c>
      <c r="K29" s="347">
        <f>K30+K40</f>
        <v>102661493</v>
      </c>
      <c r="L29" s="347">
        <f t="shared" ref="L29:N29" si="48">L30+L40</f>
        <v>140459963.07999998</v>
      </c>
      <c r="M29" s="124">
        <f>L29/J29</f>
        <v>1.5639623623569796</v>
      </c>
      <c r="N29" s="347">
        <f t="shared" si="48"/>
        <v>52808754.810000002</v>
      </c>
      <c r="O29" s="121">
        <f t="shared" si="5"/>
        <v>0.58800317980105021</v>
      </c>
      <c r="P29" s="66">
        <f>P30+P40</f>
        <v>87472556.269999996</v>
      </c>
      <c r="Q29" s="67">
        <f t="shared" ref="Q29:Q41" si="49">P29/J29</f>
        <v>0.97396996799376512</v>
      </c>
      <c r="R29" s="66">
        <f>R30+R40</f>
        <v>87472556.269999996</v>
      </c>
      <c r="S29" s="67">
        <f t="shared" ref="S29:S41" si="50">R29/J29</f>
        <v>0.97396996799376512</v>
      </c>
      <c r="T29" s="66">
        <f t="shared" ref="T29:X29" si="51">T30+T40</f>
        <v>49088808.920000002</v>
      </c>
      <c r="U29" s="66">
        <f t="shared" si="51"/>
        <v>0</v>
      </c>
      <c r="V29" s="66">
        <f t="shared" si="51"/>
        <v>2174387.12</v>
      </c>
      <c r="W29" s="66">
        <f t="shared" si="51"/>
        <v>248728.03000000012</v>
      </c>
      <c r="X29" s="66">
        <f t="shared" si="51"/>
        <v>0</v>
      </c>
      <c r="Y29" s="66">
        <f t="shared" si="2"/>
        <v>51263196.040000007</v>
      </c>
      <c r="Z29" s="66">
        <f t="shared" si="17"/>
        <v>49337536.950000003</v>
      </c>
      <c r="AA29" s="66">
        <f>AA30+AA40</f>
        <v>182450</v>
      </c>
      <c r="AB29" s="128">
        <f>AA29/J29</f>
        <v>2.0315036879905105E-3</v>
      </c>
      <c r="AC29" s="66">
        <f>AC30+AC40</f>
        <v>51263196.040000007</v>
      </c>
      <c r="AD29" s="67">
        <f t="shared" ref="AD29:AD41" si="52">AC29/J29</f>
        <v>0.57079403569986598</v>
      </c>
      <c r="AE29" s="133">
        <f>AE30+AE40</f>
        <v>1.5481251521430124E-2</v>
      </c>
      <c r="AF29" s="56">
        <f t="shared" si="41"/>
        <v>2337765.551504001</v>
      </c>
      <c r="AG29" s="57">
        <f t="shared" ref="AG29:AG41" si="53">AF29/J29</f>
        <v>2.6030032006234848E-2</v>
      </c>
      <c r="AH29" s="119"/>
      <c r="AI29" s="217"/>
      <c r="AJ29" s="237" t="s">
        <v>408</v>
      </c>
      <c r="AK29" s="66">
        <f>AK30+AK40</f>
        <v>6492226.1547297984</v>
      </c>
      <c r="AL29" s="66">
        <f>AL30+AL40</f>
        <v>7300000</v>
      </c>
      <c r="AM29" s="193">
        <f>AL29/K29</f>
        <v>7.1107479412947955E-2</v>
      </c>
      <c r="AN29" s="170"/>
      <c r="AO29" s="66">
        <f>AO30+AO40</f>
        <v>6344140</v>
      </c>
      <c r="AP29" s="66">
        <f>AP30+AP40</f>
        <v>7300000</v>
      </c>
      <c r="AQ29" s="66">
        <f>AQ30+AQ40</f>
        <v>7300000</v>
      </c>
      <c r="AR29" s="193">
        <f t="shared" si="35"/>
        <v>7.1107479412947955E-2</v>
      </c>
      <c r="AS29" s="119"/>
      <c r="AT29" s="119"/>
      <c r="AU29" s="374"/>
      <c r="AV29" s="25"/>
      <c r="AW29" s="244"/>
      <c r="AX29" s="244"/>
      <c r="AY29" s="244"/>
    </row>
    <row r="30" spans="1:51" s="50" customFormat="1" ht="49.5">
      <c r="A30" s="381" t="s">
        <v>13</v>
      </c>
      <c r="B30" s="74" t="s">
        <v>456</v>
      </c>
      <c r="C30" s="75" t="s">
        <v>0</v>
      </c>
      <c r="D30" s="75" t="s">
        <v>5</v>
      </c>
      <c r="E30" s="75"/>
      <c r="F30" s="348">
        <f>F31+F36</f>
        <v>56846223.967232004</v>
      </c>
      <c r="G30" s="348"/>
      <c r="H30" s="348">
        <f>H31+H36</f>
        <v>56846223.814815998</v>
      </c>
      <c r="I30" s="348"/>
      <c r="J30" s="348">
        <f>J31+J36</f>
        <v>56846223.814815998</v>
      </c>
      <c r="K30" s="348">
        <f>K31+K36</f>
        <v>66072623</v>
      </c>
      <c r="L30" s="348">
        <f t="shared" ref="L30:N30" si="54">L31+L36</f>
        <v>76318338.409999996</v>
      </c>
      <c r="M30" s="125">
        <f t="shared" ref="M30:M35" si="55">L30/J30</f>
        <v>1.3425401598990454</v>
      </c>
      <c r="N30" s="348">
        <f t="shared" si="54"/>
        <v>21724467.41</v>
      </c>
      <c r="O30" s="127">
        <f t="shared" si="5"/>
        <v>0.38216201450373011</v>
      </c>
      <c r="P30" s="81">
        <f>P31+P36</f>
        <v>54597669</v>
      </c>
      <c r="Q30" s="73">
        <f t="shared" si="49"/>
        <v>0.96044495722106438</v>
      </c>
      <c r="R30" s="78">
        <f>R31+R36</f>
        <v>54597669</v>
      </c>
      <c r="S30" s="73">
        <f t="shared" si="50"/>
        <v>0.96044495722106438</v>
      </c>
      <c r="T30" s="78">
        <f t="shared" ref="T30:W30" si="56">T31+T36</f>
        <v>30025626.350000001</v>
      </c>
      <c r="U30" s="78">
        <f t="shared" si="56"/>
        <v>0</v>
      </c>
      <c r="V30" s="78">
        <f t="shared" si="56"/>
        <v>715111.86</v>
      </c>
      <c r="W30" s="78">
        <f t="shared" si="56"/>
        <v>23292.890000000101</v>
      </c>
      <c r="X30" s="78">
        <v>0</v>
      </c>
      <c r="Y30" s="78">
        <f t="shared" si="2"/>
        <v>30740738.210000001</v>
      </c>
      <c r="Z30" s="113">
        <f t="shared" si="17"/>
        <v>30048919.240000002</v>
      </c>
      <c r="AA30" s="78">
        <f>AA31+AA36</f>
        <v>0</v>
      </c>
      <c r="AB30" s="131">
        <f>AA30/J30</f>
        <v>0</v>
      </c>
      <c r="AC30" s="78">
        <f>AC31+AC36</f>
        <v>30740738.210000001</v>
      </c>
      <c r="AD30" s="73">
        <f t="shared" si="52"/>
        <v>0.54077010128486236</v>
      </c>
      <c r="AE30" s="136">
        <v>1.3891549931926725E-2</v>
      </c>
      <c r="AF30" s="166">
        <f t="shared" si="41"/>
        <v>2248554.8148159981</v>
      </c>
      <c r="AG30" s="167">
        <f t="shared" si="53"/>
        <v>3.9555042778935665E-2</v>
      </c>
      <c r="AH30" s="120"/>
      <c r="AI30" s="82"/>
      <c r="AJ30" s="238" t="s">
        <v>408</v>
      </c>
      <c r="AK30" s="78">
        <f>AK31+AK36</f>
        <v>3792226.1547297984</v>
      </c>
      <c r="AL30" s="78">
        <f>AL31+AL36</f>
        <v>4300000</v>
      </c>
      <c r="AM30" s="125">
        <f>AL30/K30</f>
        <v>6.5079904577119638E-2</v>
      </c>
      <c r="AN30" s="170"/>
      <c r="AO30" s="78">
        <f>AO31+AO36</f>
        <v>3800000</v>
      </c>
      <c r="AP30" s="78">
        <f>AP31+AP36</f>
        <v>4300000</v>
      </c>
      <c r="AQ30" s="78">
        <f>AQ31+AQ36</f>
        <v>4300000</v>
      </c>
      <c r="AR30" s="125">
        <f t="shared" si="35"/>
        <v>6.5079904577119638E-2</v>
      </c>
      <c r="AS30" s="120"/>
      <c r="AT30" s="120"/>
      <c r="AU30" s="383"/>
      <c r="AV30" s="257"/>
      <c r="AW30" s="244"/>
      <c r="AX30" s="244"/>
      <c r="AY30" s="244"/>
    </row>
    <row r="31" spans="1:51" s="50" customFormat="1" ht="66">
      <c r="A31" s="381" t="s">
        <v>14</v>
      </c>
      <c r="B31" s="74" t="s">
        <v>457</v>
      </c>
      <c r="C31" s="75" t="s">
        <v>0</v>
      </c>
      <c r="D31" s="75" t="s">
        <v>5</v>
      </c>
      <c r="E31" s="75"/>
      <c r="F31" s="348">
        <f>SUM(F32:F35)</f>
        <v>39193931</v>
      </c>
      <c r="G31" s="348"/>
      <c r="H31" s="348">
        <f>SUM(H32:H35)</f>
        <v>39193930.847584002</v>
      </c>
      <c r="I31" s="348"/>
      <c r="J31" s="348">
        <f>SUM(J32:J35)</f>
        <v>39193930.847584002</v>
      </c>
      <c r="K31" s="348">
        <f>SUM(K32:K35)</f>
        <v>45305218</v>
      </c>
      <c r="L31" s="348">
        <f t="shared" ref="L31:N31" si="57">SUM(L32:L35)</f>
        <v>49767631.409999996</v>
      </c>
      <c r="M31" s="125">
        <f t="shared" si="55"/>
        <v>1.2697790278687442</v>
      </c>
      <c r="N31" s="348">
        <f t="shared" si="57"/>
        <v>12166333.41</v>
      </c>
      <c r="O31" s="127">
        <f t="shared" si="5"/>
        <v>0.31041370811496338</v>
      </c>
      <c r="P31" s="81">
        <f t="shared" ref="P31" si="58">P32+P33+P34+P35</f>
        <v>37605096</v>
      </c>
      <c r="Q31" s="73">
        <f t="shared" si="49"/>
        <v>0.95946222251188307</v>
      </c>
      <c r="R31" s="348">
        <f>SUM(R32:R35)</f>
        <v>37605096</v>
      </c>
      <c r="S31" s="73">
        <f t="shared" si="50"/>
        <v>0.95946222251188307</v>
      </c>
      <c r="T31" s="78">
        <f t="shared" ref="T31:W31" si="59">SUM(T32:T35)</f>
        <v>17195213.010000002</v>
      </c>
      <c r="U31" s="78">
        <f t="shared" si="59"/>
        <v>0</v>
      </c>
      <c r="V31" s="78">
        <f t="shared" si="59"/>
        <v>562111.86</v>
      </c>
      <c r="W31" s="78">
        <f t="shared" si="59"/>
        <v>23292.890000000101</v>
      </c>
      <c r="X31" s="78">
        <v>0</v>
      </c>
      <c r="Y31" s="78">
        <f t="shared" si="2"/>
        <v>17757324.870000001</v>
      </c>
      <c r="Z31" s="348">
        <f>SUM(Z32:Z35)</f>
        <v>17218505.900000002</v>
      </c>
      <c r="AA31" s="348">
        <f>SUM(AA32:AA35)</f>
        <v>0</v>
      </c>
      <c r="AB31" s="131">
        <f>AA31/J31</f>
        <v>0</v>
      </c>
      <c r="AC31" s="78">
        <f>SUM(AC32:AC35)</f>
        <v>17757324.870000001</v>
      </c>
      <c r="AD31" s="73">
        <f t="shared" si="52"/>
        <v>0.45306312701969265</v>
      </c>
      <c r="AE31" s="136">
        <v>1.5375850360649663E-2</v>
      </c>
      <c r="AF31" s="166">
        <f t="shared" si="41"/>
        <v>1588834.8475840017</v>
      </c>
      <c r="AG31" s="167">
        <f t="shared" si="53"/>
        <v>4.0537777488116912E-2</v>
      </c>
      <c r="AH31" s="120"/>
      <c r="AI31" s="82"/>
      <c r="AJ31" s="238" t="s">
        <v>408</v>
      </c>
      <c r="AK31" s="78">
        <f>SUM(AK32:AK35)</f>
        <v>3792226.1547297984</v>
      </c>
      <c r="AL31" s="78">
        <f>SUM(AL32:AL35)</f>
        <v>4300000</v>
      </c>
      <c r="AM31" s="125">
        <f>AL31/K31</f>
        <v>9.4911804640251368E-2</v>
      </c>
      <c r="AN31" s="170"/>
      <c r="AO31" s="78">
        <f>SUM(AO32:AO35)</f>
        <v>3800000</v>
      </c>
      <c r="AP31" s="78">
        <f>SUM(AP32:AP35)</f>
        <v>4300000</v>
      </c>
      <c r="AQ31" s="78">
        <f>SUM(AQ32:AQ35)</f>
        <v>4300000</v>
      </c>
      <c r="AR31" s="125">
        <f t="shared" si="35"/>
        <v>9.4911804640251368E-2</v>
      </c>
      <c r="AS31" s="120"/>
      <c r="AT31" s="120"/>
      <c r="AU31" s="383"/>
      <c r="AV31" s="257"/>
      <c r="AW31" s="244"/>
      <c r="AX31" s="244"/>
      <c r="AY31" s="244"/>
    </row>
    <row r="32" spans="1:51" ht="249.6" customHeight="1">
      <c r="A32" s="375" t="s">
        <v>250</v>
      </c>
      <c r="B32" s="69" t="s">
        <v>458</v>
      </c>
      <c r="C32" s="70" t="s">
        <v>0</v>
      </c>
      <c r="D32" s="70" t="s">
        <v>5</v>
      </c>
      <c r="E32" s="70"/>
      <c r="F32" s="348">
        <v>2550000</v>
      </c>
      <c r="G32" s="348"/>
      <c r="H32" s="348">
        <v>2550000</v>
      </c>
      <c r="I32" s="348"/>
      <c r="J32" s="348">
        <v>2550000</v>
      </c>
      <c r="K32" s="348">
        <v>2550000</v>
      </c>
      <c r="L32" s="348">
        <v>2393420</v>
      </c>
      <c r="M32" s="125">
        <f t="shared" si="55"/>
        <v>0.93859607843137249</v>
      </c>
      <c r="N32" s="348"/>
      <c r="O32" s="127">
        <f t="shared" si="5"/>
        <v>0</v>
      </c>
      <c r="P32" s="348">
        <v>2393420</v>
      </c>
      <c r="Q32" s="73">
        <f t="shared" si="49"/>
        <v>0.93859607843137249</v>
      </c>
      <c r="R32" s="76">
        <v>2393420</v>
      </c>
      <c r="S32" s="73">
        <f t="shared" si="50"/>
        <v>0.93859607843137249</v>
      </c>
      <c r="T32" s="109">
        <v>60649.98</v>
      </c>
      <c r="U32" s="109">
        <v>0</v>
      </c>
      <c r="V32" s="109">
        <v>0</v>
      </c>
      <c r="W32" s="109">
        <v>0</v>
      </c>
      <c r="X32" s="109">
        <v>0</v>
      </c>
      <c r="Y32" s="76">
        <f t="shared" si="2"/>
        <v>60649.98</v>
      </c>
      <c r="Z32" s="77">
        <f t="shared" si="17"/>
        <v>60649.98</v>
      </c>
      <c r="AA32" s="77"/>
      <c r="AB32" s="125"/>
      <c r="AC32" s="77">
        <f>SUM(T32:V32)</f>
        <v>60649.98</v>
      </c>
      <c r="AD32" s="73">
        <f t="shared" si="52"/>
        <v>2.3784305882352943E-2</v>
      </c>
      <c r="AE32" s="125">
        <v>0</v>
      </c>
      <c r="AF32" s="166">
        <f t="shared" si="41"/>
        <v>156580</v>
      </c>
      <c r="AG32" s="167">
        <f t="shared" si="53"/>
        <v>6.1403921568627451E-2</v>
      </c>
      <c r="AH32" s="146" t="s">
        <v>339</v>
      </c>
      <c r="AI32" s="219"/>
      <c r="AJ32" s="238" t="s">
        <v>409</v>
      </c>
      <c r="AK32" s="348">
        <v>0</v>
      </c>
      <c r="AL32" s="348">
        <v>0</v>
      </c>
      <c r="AM32" s="125">
        <v>0</v>
      </c>
      <c r="AN32" s="82"/>
      <c r="AO32" s="348">
        <v>0</v>
      </c>
      <c r="AP32" s="120"/>
      <c r="AQ32" s="120"/>
      <c r="AR32" s="125">
        <f t="shared" si="35"/>
        <v>0</v>
      </c>
      <c r="AS32" s="120"/>
      <c r="AT32" s="120"/>
      <c r="AU32" s="382"/>
      <c r="AV32" s="256"/>
      <c r="AW32" s="42"/>
      <c r="AX32" s="42"/>
      <c r="AY32" s="42"/>
    </row>
    <row r="33" spans="1:51" ht="155.25" customHeight="1">
      <c r="A33" s="375" t="s">
        <v>684</v>
      </c>
      <c r="B33" s="69" t="s">
        <v>459</v>
      </c>
      <c r="C33" s="70" t="s">
        <v>0</v>
      </c>
      <c r="D33" s="70" t="s">
        <v>5</v>
      </c>
      <c r="E33" s="70"/>
      <c r="F33" s="348">
        <v>6325236</v>
      </c>
      <c r="G33" s="348"/>
      <c r="H33" s="348">
        <v>6325236</v>
      </c>
      <c r="I33" s="348"/>
      <c r="J33" s="348">
        <v>6325236</v>
      </c>
      <c r="K33" s="348">
        <v>7441454</v>
      </c>
      <c r="L33" s="348">
        <v>5154478</v>
      </c>
      <c r="M33" s="125">
        <f t="shared" si="55"/>
        <v>0.81490682719190244</v>
      </c>
      <c r="N33" s="348"/>
      <c r="O33" s="127">
        <f t="shared" si="5"/>
        <v>0</v>
      </c>
      <c r="P33" s="348">
        <v>5154478</v>
      </c>
      <c r="Q33" s="71">
        <f t="shared" si="49"/>
        <v>0.81490682719190244</v>
      </c>
      <c r="R33" s="72">
        <v>5154478</v>
      </c>
      <c r="S33" s="71">
        <f t="shared" si="50"/>
        <v>0.81490682719190244</v>
      </c>
      <c r="T33" s="72">
        <v>2148188.1800000002</v>
      </c>
      <c r="U33" s="116">
        <v>0</v>
      </c>
      <c r="V33" s="72">
        <v>318919.59999999998</v>
      </c>
      <c r="W33" s="72">
        <v>12585.1600000001</v>
      </c>
      <c r="X33" s="72">
        <v>0</v>
      </c>
      <c r="Y33" s="72">
        <f t="shared" si="2"/>
        <v>2467107.7800000003</v>
      </c>
      <c r="Z33" s="118">
        <f t="shared" si="17"/>
        <v>2160773.3400000003</v>
      </c>
      <c r="AA33" s="118"/>
      <c r="AB33" s="132"/>
      <c r="AC33" s="118">
        <f t="shared" ref="AC33" si="60">SUM(T33:V33)</f>
        <v>2467107.7800000003</v>
      </c>
      <c r="AD33" s="71">
        <f t="shared" si="52"/>
        <v>0.390042012661662</v>
      </c>
      <c r="AE33" s="125">
        <v>6.5311993156891027E-2</v>
      </c>
      <c r="AF33" s="166">
        <f t="shared" si="41"/>
        <v>1170758</v>
      </c>
      <c r="AG33" s="167">
        <f t="shared" si="53"/>
        <v>0.18509317280809759</v>
      </c>
      <c r="AH33" s="146" t="s">
        <v>340</v>
      </c>
      <c r="AI33" s="219"/>
      <c r="AJ33" s="238" t="s">
        <v>409</v>
      </c>
      <c r="AK33" s="348">
        <v>0</v>
      </c>
      <c r="AL33" s="348">
        <v>0</v>
      </c>
      <c r="AM33" s="125">
        <v>0</v>
      </c>
      <c r="AN33" s="82"/>
      <c r="AO33" s="348">
        <v>0</v>
      </c>
      <c r="AP33" s="120"/>
      <c r="AQ33" s="120"/>
      <c r="AR33" s="125">
        <f t="shared" si="35"/>
        <v>0</v>
      </c>
      <c r="AS33" s="120"/>
      <c r="AT33" s="120"/>
      <c r="AU33" s="382"/>
      <c r="AV33" s="256"/>
      <c r="AW33" s="42"/>
      <c r="AX33" s="42"/>
      <c r="AY33" s="42"/>
    </row>
    <row r="34" spans="1:51" ht="180" customHeight="1">
      <c r="A34" s="377" t="s">
        <v>261</v>
      </c>
      <c r="B34" s="345" t="s">
        <v>460</v>
      </c>
      <c r="C34" s="178" t="s">
        <v>0</v>
      </c>
      <c r="D34" s="178" t="s">
        <v>5</v>
      </c>
      <c r="E34" s="178"/>
      <c r="F34" s="349">
        <v>8345584</v>
      </c>
      <c r="G34" s="349"/>
      <c r="H34" s="349">
        <v>8345583.8475839999</v>
      </c>
      <c r="I34" s="349"/>
      <c r="J34" s="349">
        <v>8345583.8475839999</v>
      </c>
      <c r="K34" s="349">
        <v>9463046</v>
      </c>
      <c r="L34" s="349">
        <v>20262906.41</v>
      </c>
      <c r="M34" s="179">
        <f t="shared" si="55"/>
        <v>2.4279794895195979</v>
      </c>
      <c r="N34" s="349">
        <v>12166333.41</v>
      </c>
      <c r="O34" s="180">
        <f t="shared" si="5"/>
        <v>1.4578169283533213</v>
      </c>
      <c r="P34" s="349">
        <v>8100371</v>
      </c>
      <c r="Q34" s="181">
        <f t="shared" si="49"/>
        <v>0.97061765215444007</v>
      </c>
      <c r="R34" s="182">
        <v>8100371</v>
      </c>
      <c r="S34" s="181">
        <f t="shared" si="50"/>
        <v>0.97061765215444007</v>
      </c>
      <c r="T34" s="182">
        <v>1896932.47</v>
      </c>
      <c r="U34" s="182">
        <v>0</v>
      </c>
      <c r="V34" s="182">
        <v>243192.26</v>
      </c>
      <c r="W34" s="182">
        <v>10707.73</v>
      </c>
      <c r="X34" s="182">
        <v>0</v>
      </c>
      <c r="Y34" s="182">
        <f t="shared" si="2"/>
        <v>2140124.73</v>
      </c>
      <c r="Z34" s="184">
        <f t="shared" si="17"/>
        <v>1907640.2</v>
      </c>
      <c r="AA34" s="184"/>
      <c r="AB34" s="179"/>
      <c r="AC34" s="184">
        <f>SUM(T34:V34)</f>
        <v>2140124.73</v>
      </c>
      <c r="AD34" s="181">
        <f t="shared" si="52"/>
        <v>0.25643798793292982</v>
      </c>
      <c r="AE34" s="179">
        <v>4.2800896187077372E-2</v>
      </c>
      <c r="AF34" s="185">
        <f t="shared" si="41"/>
        <v>245212.84758399986</v>
      </c>
      <c r="AG34" s="186">
        <f t="shared" si="53"/>
        <v>2.9382347845559972E-2</v>
      </c>
      <c r="AH34" s="190" t="s">
        <v>341</v>
      </c>
      <c r="AI34" s="205"/>
      <c r="AJ34" s="239" t="s">
        <v>408</v>
      </c>
      <c r="AK34" s="349">
        <f>(J34/K34)*AL34</f>
        <v>3792226.1547297984</v>
      </c>
      <c r="AL34" s="349">
        <v>4300000</v>
      </c>
      <c r="AM34" s="179">
        <f>AL34/K34</f>
        <v>0.45439914378520402</v>
      </c>
      <c r="AN34" s="188" t="s">
        <v>433</v>
      </c>
      <c r="AO34" s="264">
        <v>3800000</v>
      </c>
      <c r="AP34" s="318">
        <f>AL34</f>
        <v>4300000</v>
      </c>
      <c r="AQ34" s="318">
        <f>AL34</f>
        <v>4300000</v>
      </c>
      <c r="AR34" s="179">
        <f t="shared" si="35"/>
        <v>0.45439914378520402</v>
      </c>
      <c r="AS34" s="317" t="s">
        <v>433</v>
      </c>
      <c r="AT34" s="354" t="s">
        <v>710</v>
      </c>
      <c r="AU34" s="384"/>
      <c r="AV34" s="230"/>
    </row>
    <row r="35" spans="1:51" ht="93.6" customHeight="1">
      <c r="A35" s="375" t="s">
        <v>290</v>
      </c>
      <c r="B35" s="69" t="s">
        <v>461</v>
      </c>
      <c r="C35" s="70" t="s">
        <v>0</v>
      </c>
      <c r="D35" s="70" t="s">
        <v>5</v>
      </c>
      <c r="E35" s="70"/>
      <c r="F35" s="348">
        <v>21973111</v>
      </c>
      <c r="G35" s="348"/>
      <c r="H35" s="348">
        <v>21973111</v>
      </c>
      <c r="I35" s="348"/>
      <c r="J35" s="348">
        <v>21973111</v>
      </c>
      <c r="K35" s="348">
        <v>25850718</v>
      </c>
      <c r="L35" s="348">
        <v>21956827</v>
      </c>
      <c r="M35" s="125">
        <f t="shared" si="55"/>
        <v>0.99925891240434728</v>
      </c>
      <c r="N35" s="348"/>
      <c r="O35" s="127">
        <f t="shared" si="5"/>
        <v>0</v>
      </c>
      <c r="P35" s="348">
        <v>21956827</v>
      </c>
      <c r="Q35" s="73">
        <f t="shared" si="49"/>
        <v>0.99925891240434728</v>
      </c>
      <c r="R35" s="76">
        <v>21956827</v>
      </c>
      <c r="S35" s="73">
        <f t="shared" si="50"/>
        <v>0.99925891240434728</v>
      </c>
      <c r="T35" s="76">
        <v>13089442.380000001</v>
      </c>
      <c r="U35" s="76">
        <v>0</v>
      </c>
      <c r="V35" s="76">
        <v>0</v>
      </c>
      <c r="W35" s="76">
        <v>0</v>
      </c>
      <c r="X35" s="76">
        <v>0</v>
      </c>
      <c r="Y35" s="76">
        <f t="shared" si="2"/>
        <v>13089442.380000001</v>
      </c>
      <c r="Z35" s="77">
        <f t="shared" si="17"/>
        <v>13089442.380000001</v>
      </c>
      <c r="AA35" s="77"/>
      <c r="AB35" s="125"/>
      <c r="AC35" s="77">
        <f>SUM(T35:V35)</f>
        <v>13089442.380000001</v>
      </c>
      <c r="AD35" s="73">
        <f t="shared" si="52"/>
        <v>0.59570273776890315</v>
      </c>
      <c r="AE35" s="125">
        <v>1.2423938903773401E-3</v>
      </c>
      <c r="AF35" s="166">
        <f t="shared" si="41"/>
        <v>16284</v>
      </c>
      <c r="AG35" s="167">
        <f t="shared" si="53"/>
        <v>7.4108759565270476E-4</v>
      </c>
      <c r="AH35" s="145" t="s">
        <v>342</v>
      </c>
      <c r="AI35" s="147"/>
      <c r="AJ35" s="238" t="s">
        <v>409</v>
      </c>
      <c r="AK35" s="348">
        <v>0</v>
      </c>
      <c r="AL35" s="348">
        <v>0</v>
      </c>
      <c r="AM35" s="125">
        <v>0</v>
      </c>
      <c r="AN35" s="82"/>
      <c r="AO35" s="348">
        <v>0</v>
      </c>
      <c r="AP35" s="120"/>
      <c r="AQ35" s="120"/>
      <c r="AR35" s="125">
        <f t="shared" si="35"/>
        <v>0</v>
      </c>
      <c r="AS35" s="120"/>
      <c r="AT35" s="120"/>
      <c r="AU35" s="382"/>
      <c r="AV35" s="256"/>
      <c r="AW35" s="42"/>
      <c r="AX35" s="42"/>
      <c r="AY35" s="42"/>
    </row>
    <row r="36" spans="1:51" s="50" customFormat="1" ht="50.45" customHeight="1">
      <c r="A36" s="381" t="s">
        <v>15</v>
      </c>
      <c r="B36" s="74" t="s">
        <v>462</v>
      </c>
      <c r="C36" s="75" t="s">
        <v>0</v>
      </c>
      <c r="D36" s="75" t="s">
        <v>5</v>
      </c>
      <c r="E36" s="75"/>
      <c r="F36" s="348">
        <f>SUM(F37:F39)</f>
        <v>17652292.967232</v>
      </c>
      <c r="G36" s="348"/>
      <c r="H36" s="348">
        <f>SUM(H37:H39)</f>
        <v>17652292.967232</v>
      </c>
      <c r="I36" s="348"/>
      <c r="J36" s="348">
        <f>SUM(J37:J39)</f>
        <v>17652292.967232</v>
      </c>
      <c r="K36" s="348">
        <f>SUM(K37:K39)</f>
        <v>20767405</v>
      </c>
      <c r="L36" s="348">
        <f t="shared" ref="L36:N36" si="61">SUM(L37:L39)</f>
        <v>26550707</v>
      </c>
      <c r="M36" s="125">
        <f t="shared" ref="M36:M39" si="62">L36/J36</f>
        <v>1.5040939468479335</v>
      </c>
      <c r="N36" s="348">
        <f t="shared" si="61"/>
        <v>9558134</v>
      </c>
      <c r="O36" s="127">
        <f t="shared" si="5"/>
        <v>0.5414669934236187</v>
      </c>
      <c r="P36" s="81">
        <f>SUM(P37:P39)</f>
        <v>16992573</v>
      </c>
      <c r="Q36" s="73">
        <f t="shared" si="49"/>
        <v>0.96262695342431492</v>
      </c>
      <c r="R36" s="78">
        <f>SUM(R37:R39)</f>
        <v>16992573</v>
      </c>
      <c r="S36" s="73">
        <f t="shared" si="50"/>
        <v>0.96262695342431492</v>
      </c>
      <c r="T36" s="78">
        <f t="shared" ref="T36:W36" si="63">SUM(T37:T39)</f>
        <v>12830413.34</v>
      </c>
      <c r="U36" s="78">
        <f t="shared" si="63"/>
        <v>0</v>
      </c>
      <c r="V36" s="78">
        <f t="shared" si="63"/>
        <v>153000</v>
      </c>
      <c r="W36" s="78">
        <f t="shared" si="63"/>
        <v>0</v>
      </c>
      <c r="X36" s="78">
        <v>0</v>
      </c>
      <c r="Y36" s="78">
        <f t="shared" si="2"/>
        <v>12983413.34</v>
      </c>
      <c r="Z36" s="113">
        <f t="shared" si="17"/>
        <v>12830413.34</v>
      </c>
      <c r="AA36" s="78">
        <f>SUM(AA37:AA39)</f>
        <v>0</v>
      </c>
      <c r="AB36" s="131">
        <f>AA36/J36</f>
        <v>0</v>
      </c>
      <c r="AC36" s="78">
        <f>SUM(AC37:AC39)</f>
        <v>12983413.34</v>
      </c>
      <c r="AD36" s="73">
        <f t="shared" si="52"/>
        <v>0.73550860299572107</v>
      </c>
      <c r="AE36" s="136"/>
      <c r="AF36" s="166">
        <f t="shared" si="41"/>
        <v>659719.96723200008</v>
      </c>
      <c r="AG36" s="167">
        <f t="shared" si="53"/>
        <v>3.7373046575685104E-2</v>
      </c>
      <c r="AH36" s="120"/>
      <c r="AI36" s="82"/>
      <c r="AJ36" s="238" t="s">
        <v>409</v>
      </c>
      <c r="AK36" s="348">
        <v>0</v>
      </c>
      <c r="AL36" s="348">
        <v>0</v>
      </c>
      <c r="AM36" s="125">
        <v>0</v>
      </c>
      <c r="AN36" s="82"/>
      <c r="AO36" s="348">
        <v>0</v>
      </c>
      <c r="AP36" s="120"/>
      <c r="AQ36" s="120"/>
      <c r="AR36" s="125">
        <f t="shared" si="35"/>
        <v>0</v>
      </c>
      <c r="AS36" s="120"/>
      <c r="AT36" s="120"/>
      <c r="AU36" s="382"/>
      <c r="AV36" s="256"/>
    </row>
    <row r="37" spans="1:51" ht="187.15" customHeight="1">
      <c r="A37" s="375" t="s">
        <v>291</v>
      </c>
      <c r="B37" s="69" t="s">
        <v>463</v>
      </c>
      <c r="C37" s="70" t="s">
        <v>0</v>
      </c>
      <c r="D37" s="70" t="s">
        <v>5</v>
      </c>
      <c r="E37" s="70"/>
      <c r="F37" s="348">
        <v>4214158.9672320001</v>
      </c>
      <c r="G37" s="348"/>
      <c r="H37" s="348">
        <v>4214158.9672320001</v>
      </c>
      <c r="I37" s="348"/>
      <c r="J37" s="348">
        <v>4214158.9672320001</v>
      </c>
      <c r="K37" s="348">
        <v>4957835</v>
      </c>
      <c r="L37" s="348">
        <v>4201136</v>
      </c>
      <c r="M37" s="125">
        <f t="shared" si="62"/>
        <v>0.99690971144343088</v>
      </c>
      <c r="N37" s="348"/>
      <c r="O37" s="127">
        <f t="shared" si="5"/>
        <v>0</v>
      </c>
      <c r="P37" s="348">
        <v>4201136</v>
      </c>
      <c r="Q37" s="73">
        <f t="shared" si="49"/>
        <v>0.99690971144343088</v>
      </c>
      <c r="R37" s="76">
        <v>4201136</v>
      </c>
      <c r="S37" s="73">
        <f t="shared" si="50"/>
        <v>0.99690971144343088</v>
      </c>
      <c r="T37" s="76">
        <v>3389265</v>
      </c>
      <c r="U37" s="76">
        <v>0</v>
      </c>
      <c r="V37" s="76">
        <v>0</v>
      </c>
      <c r="W37" s="76">
        <v>0</v>
      </c>
      <c r="X37" s="76">
        <v>0</v>
      </c>
      <c r="Y37" s="76">
        <f t="shared" si="2"/>
        <v>3389265</v>
      </c>
      <c r="Z37" s="77">
        <f t="shared" si="17"/>
        <v>3389265</v>
      </c>
      <c r="AA37" s="77"/>
      <c r="AB37" s="125"/>
      <c r="AC37" s="77">
        <f t="shared" ref="AC37:AC39" si="64">SUM(T37:V37)</f>
        <v>3389265</v>
      </c>
      <c r="AD37" s="73">
        <f t="shared" si="52"/>
        <v>0.80425656135752799</v>
      </c>
      <c r="AE37" s="125">
        <v>5.5787288882885241E-3</v>
      </c>
      <c r="AF37" s="166">
        <f t="shared" si="41"/>
        <v>13022.967232000083</v>
      </c>
      <c r="AG37" s="167">
        <f t="shared" si="53"/>
        <v>3.0902885565690943E-3</v>
      </c>
      <c r="AH37" s="145" t="s">
        <v>343</v>
      </c>
      <c r="AI37" s="147"/>
      <c r="AJ37" s="238" t="s">
        <v>409</v>
      </c>
      <c r="AK37" s="348">
        <v>0</v>
      </c>
      <c r="AL37" s="348">
        <v>0</v>
      </c>
      <c r="AM37" s="125">
        <v>0</v>
      </c>
      <c r="AN37" s="82"/>
      <c r="AO37" s="348">
        <v>0</v>
      </c>
      <c r="AP37" s="120"/>
      <c r="AQ37" s="120"/>
      <c r="AR37" s="125">
        <f t="shared" si="35"/>
        <v>0</v>
      </c>
      <c r="AS37" s="120"/>
      <c r="AT37" s="120"/>
      <c r="AU37" s="382"/>
      <c r="AV37" s="256"/>
      <c r="AW37" s="42"/>
      <c r="AX37" s="42"/>
      <c r="AY37" s="42"/>
    </row>
    <row r="38" spans="1:51" ht="84" customHeight="1">
      <c r="A38" s="375" t="s">
        <v>228</v>
      </c>
      <c r="B38" s="69" t="s">
        <v>464</v>
      </c>
      <c r="C38" s="70" t="s">
        <v>0</v>
      </c>
      <c r="D38" s="70" t="s">
        <v>5</v>
      </c>
      <c r="E38" s="70"/>
      <c r="F38" s="348">
        <v>9558134</v>
      </c>
      <c r="G38" s="348"/>
      <c r="H38" s="348">
        <v>9558134</v>
      </c>
      <c r="I38" s="348"/>
      <c r="J38" s="348">
        <v>9558134</v>
      </c>
      <c r="K38" s="348">
        <v>11244864</v>
      </c>
      <c r="L38" s="348">
        <v>19023676</v>
      </c>
      <c r="M38" s="125">
        <f t="shared" si="62"/>
        <v>1.9903127535144411</v>
      </c>
      <c r="N38" s="348">
        <v>9558134</v>
      </c>
      <c r="O38" s="127">
        <f t="shared" si="5"/>
        <v>1</v>
      </c>
      <c r="P38" s="348">
        <v>9465542</v>
      </c>
      <c r="Q38" s="67">
        <f t="shared" si="49"/>
        <v>0.99031275351444126</v>
      </c>
      <c r="R38" s="76">
        <v>9465542</v>
      </c>
      <c r="S38" s="73">
        <f t="shared" si="50"/>
        <v>0.99031275351444126</v>
      </c>
      <c r="T38" s="76">
        <v>8812660.2300000004</v>
      </c>
      <c r="U38" s="76">
        <v>0</v>
      </c>
      <c r="V38" s="76">
        <v>0</v>
      </c>
      <c r="W38" s="76">
        <v>0</v>
      </c>
      <c r="X38" s="76">
        <v>0</v>
      </c>
      <c r="Y38" s="76">
        <f t="shared" si="2"/>
        <v>8812660.2300000004</v>
      </c>
      <c r="Z38" s="77">
        <f t="shared" si="17"/>
        <v>8812660.2300000004</v>
      </c>
      <c r="AA38" s="77"/>
      <c r="AB38" s="125"/>
      <c r="AC38" s="77">
        <f>SUM(T38:V38)</f>
        <v>8812660.2300000004</v>
      </c>
      <c r="AD38" s="71">
        <f t="shared" si="52"/>
        <v>0.92200634872873721</v>
      </c>
      <c r="AE38" s="125">
        <v>1.3393747732440843E-2</v>
      </c>
      <c r="AF38" s="166">
        <f t="shared" si="41"/>
        <v>92592</v>
      </c>
      <c r="AG38" s="167">
        <f t="shared" si="53"/>
        <v>9.6872464855587929E-3</v>
      </c>
      <c r="AH38" s="145" t="s">
        <v>344</v>
      </c>
      <c r="AI38" s="147"/>
      <c r="AJ38" s="238" t="s">
        <v>409</v>
      </c>
      <c r="AK38" s="348">
        <v>0</v>
      </c>
      <c r="AL38" s="348">
        <v>0</v>
      </c>
      <c r="AM38" s="125">
        <v>0</v>
      </c>
      <c r="AN38" s="82"/>
      <c r="AO38" s="348">
        <v>0</v>
      </c>
      <c r="AP38" s="120"/>
      <c r="AQ38" s="120"/>
      <c r="AR38" s="125">
        <f t="shared" si="35"/>
        <v>0</v>
      </c>
      <c r="AS38" s="120"/>
      <c r="AT38" s="120"/>
      <c r="AU38" s="382"/>
      <c r="AV38" s="256"/>
      <c r="AW38" s="42"/>
      <c r="AX38" s="42"/>
      <c r="AY38" s="42"/>
    </row>
    <row r="39" spans="1:51" ht="67.150000000000006" customHeight="1">
      <c r="A39" s="375" t="s">
        <v>260</v>
      </c>
      <c r="B39" s="69" t="s">
        <v>465</v>
      </c>
      <c r="C39" s="70" t="s">
        <v>0</v>
      </c>
      <c r="D39" s="70" t="s">
        <v>5</v>
      </c>
      <c r="E39" s="70"/>
      <c r="F39" s="348">
        <v>3880000</v>
      </c>
      <c r="G39" s="348"/>
      <c r="H39" s="348">
        <v>3880000</v>
      </c>
      <c r="I39" s="348"/>
      <c r="J39" s="348">
        <v>3880000</v>
      </c>
      <c r="K39" s="348">
        <v>4564706</v>
      </c>
      <c r="L39" s="348">
        <v>3325895</v>
      </c>
      <c r="M39" s="125">
        <f t="shared" si="62"/>
        <v>0.85718943298969075</v>
      </c>
      <c r="N39" s="348"/>
      <c r="O39" s="127">
        <f t="shared" si="5"/>
        <v>0</v>
      </c>
      <c r="P39" s="348">
        <v>3325895</v>
      </c>
      <c r="Q39" s="67">
        <f t="shared" si="49"/>
        <v>0.85718943298969075</v>
      </c>
      <c r="R39" s="76">
        <v>3325895</v>
      </c>
      <c r="S39" s="73">
        <f t="shared" si="50"/>
        <v>0.85718943298969075</v>
      </c>
      <c r="T39" s="76">
        <v>628488.11</v>
      </c>
      <c r="U39" s="109">
        <v>0</v>
      </c>
      <c r="V39" s="76">
        <v>153000</v>
      </c>
      <c r="W39" s="76">
        <v>0</v>
      </c>
      <c r="X39" s="76">
        <v>0</v>
      </c>
      <c r="Y39" s="76">
        <f t="shared" si="2"/>
        <v>781488.11</v>
      </c>
      <c r="Z39" s="77">
        <f t="shared" si="17"/>
        <v>628488.11</v>
      </c>
      <c r="AA39" s="77"/>
      <c r="AB39" s="125"/>
      <c r="AC39" s="77">
        <f t="shared" si="64"/>
        <v>781488.11</v>
      </c>
      <c r="AD39" s="71">
        <f t="shared" si="52"/>
        <v>0.20141446134020619</v>
      </c>
      <c r="AE39" s="125">
        <v>1.8502659878449436E-2</v>
      </c>
      <c r="AF39" s="166">
        <f t="shared" si="41"/>
        <v>554105</v>
      </c>
      <c r="AG39" s="167">
        <f t="shared" si="53"/>
        <v>0.14281056701030928</v>
      </c>
      <c r="AH39" s="145" t="s">
        <v>345</v>
      </c>
      <c r="AI39" s="147"/>
      <c r="AJ39" s="238" t="s">
        <v>409</v>
      </c>
      <c r="AK39" s="348">
        <v>0</v>
      </c>
      <c r="AL39" s="348">
        <v>0</v>
      </c>
      <c r="AM39" s="125">
        <v>0</v>
      </c>
      <c r="AN39" s="82"/>
      <c r="AO39" s="348">
        <v>0</v>
      </c>
      <c r="AP39" s="120"/>
      <c r="AQ39" s="120"/>
      <c r="AR39" s="125">
        <f t="shared" si="35"/>
        <v>0</v>
      </c>
      <c r="AS39" s="120"/>
      <c r="AT39" s="120"/>
      <c r="AU39" s="382"/>
      <c r="AV39" s="256"/>
      <c r="AW39" s="42"/>
      <c r="AX39" s="42"/>
      <c r="AY39" s="42"/>
    </row>
    <row r="40" spans="1:51" s="50" customFormat="1" ht="82.5">
      <c r="A40" s="373" t="s">
        <v>16</v>
      </c>
      <c r="B40" s="64" t="s">
        <v>466</v>
      </c>
      <c r="C40" s="65" t="s">
        <v>0</v>
      </c>
      <c r="D40" s="65" t="s">
        <v>1</v>
      </c>
      <c r="E40" s="65"/>
      <c r="F40" s="347">
        <f>F41+F46+F49+F52</f>
        <v>32964098.006688002</v>
      </c>
      <c r="G40" s="347"/>
      <c r="H40" s="347">
        <f>H41+H46+H49+H52</f>
        <v>32964098.006688002</v>
      </c>
      <c r="I40" s="347"/>
      <c r="J40" s="347">
        <f>J41+J46+J49+J52</f>
        <v>32964098.006688002</v>
      </c>
      <c r="K40" s="347">
        <f>K41+K46+K49+K52</f>
        <v>36588870</v>
      </c>
      <c r="L40" s="347">
        <f t="shared" ref="L40:N40" si="65">L41+L46+L49+L52</f>
        <v>64141624.669999994</v>
      </c>
      <c r="M40" s="124">
        <f>L40/J40</f>
        <v>1.9458025108706589</v>
      </c>
      <c r="N40" s="347">
        <f t="shared" si="65"/>
        <v>31084287.399999999</v>
      </c>
      <c r="O40" s="121">
        <f t="shared" si="5"/>
        <v>0.94297400140278032</v>
      </c>
      <c r="P40" s="66">
        <f>P41+P46+P49+P52</f>
        <v>32874887.27</v>
      </c>
      <c r="Q40" s="67">
        <f t="shared" si="49"/>
        <v>0.9972937000530121</v>
      </c>
      <c r="R40" s="66">
        <f>R41+R46+R49+R52</f>
        <v>32874887.27</v>
      </c>
      <c r="S40" s="67">
        <f t="shared" si="50"/>
        <v>0.9972937000530121</v>
      </c>
      <c r="T40" s="66">
        <f t="shared" ref="T40:X40" si="66">T41+T46+T49+T52</f>
        <v>19063182.57</v>
      </c>
      <c r="U40" s="66">
        <f t="shared" si="66"/>
        <v>0</v>
      </c>
      <c r="V40" s="66">
        <f t="shared" si="66"/>
        <v>1459275.26</v>
      </c>
      <c r="W40" s="66">
        <f t="shared" si="66"/>
        <v>225435.14</v>
      </c>
      <c r="X40" s="66">
        <f t="shared" si="66"/>
        <v>0</v>
      </c>
      <c r="Y40" s="66">
        <f t="shared" si="2"/>
        <v>20522457.830000002</v>
      </c>
      <c r="Z40" s="66">
        <f t="shared" si="17"/>
        <v>19288617.710000001</v>
      </c>
      <c r="AA40" s="66">
        <f>AA41+AA46+AA49+AA52</f>
        <v>182450</v>
      </c>
      <c r="AB40" s="128">
        <f>AA40/J40</f>
        <v>5.5348094148665369E-3</v>
      </c>
      <c r="AC40" s="66">
        <f>AC41+AC46+AC49+AC52</f>
        <v>20522457.830000002</v>
      </c>
      <c r="AD40" s="67">
        <f t="shared" si="52"/>
        <v>0.6225699797954809</v>
      </c>
      <c r="AE40" s="133">
        <v>1.5897015895033994E-3</v>
      </c>
      <c r="AF40" s="56">
        <f t="shared" si="41"/>
        <v>89210.736688002944</v>
      </c>
      <c r="AG40" s="57">
        <f t="shared" si="53"/>
        <v>2.7062999469878776E-3</v>
      </c>
      <c r="AH40" s="119"/>
      <c r="AI40" s="217"/>
      <c r="AJ40" s="234" t="s">
        <v>408</v>
      </c>
      <c r="AK40" s="66">
        <f>AK43+AK46</f>
        <v>2700000</v>
      </c>
      <c r="AL40" s="347">
        <f>AL41+AL46+AL49+AL52</f>
        <v>3000000</v>
      </c>
      <c r="AM40" s="193">
        <f>AL40/K40</f>
        <v>8.199214679218024E-2</v>
      </c>
      <c r="AN40" s="86"/>
      <c r="AO40" s="347">
        <f>AO41+AO46+AO49+AO52</f>
        <v>2544140</v>
      </c>
      <c r="AP40" s="347">
        <f>AP41+AP46+AP49+AP52</f>
        <v>3000000</v>
      </c>
      <c r="AQ40" s="347">
        <f>AQ41+AQ46+AQ49+AQ52</f>
        <v>3000000</v>
      </c>
      <c r="AR40" s="193">
        <f t="shared" si="35"/>
        <v>8.199214679218024E-2</v>
      </c>
      <c r="AS40" s="119"/>
      <c r="AT40" s="119"/>
      <c r="AU40" s="380"/>
      <c r="AV40" s="255"/>
      <c r="AW40" s="244"/>
      <c r="AX40" s="244"/>
      <c r="AY40" s="244"/>
    </row>
    <row r="41" spans="1:51" s="50" customFormat="1" ht="33">
      <c r="A41" s="381" t="s">
        <v>17</v>
      </c>
      <c r="B41" s="74" t="s">
        <v>467</v>
      </c>
      <c r="C41" s="75" t="s">
        <v>0</v>
      </c>
      <c r="D41" s="75" t="s">
        <v>1</v>
      </c>
      <c r="E41" s="75"/>
      <c r="F41" s="348">
        <f>SUM(F42:F45)</f>
        <v>22397467.876044001</v>
      </c>
      <c r="G41" s="348"/>
      <c r="H41" s="348">
        <f>SUM(H42:H45)</f>
        <v>22397467.876044001</v>
      </c>
      <c r="I41" s="348"/>
      <c r="J41" s="348">
        <f>SUM(J42:J45)</f>
        <v>22397467.876044001</v>
      </c>
      <c r="K41" s="348">
        <f>SUM(K42:K45)</f>
        <v>25389716</v>
      </c>
      <c r="L41" s="348">
        <f t="shared" ref="L41:N41" si="67">SUM(L42:L45)</f>
        <v>22397006.899999999</v>
      </c>
      <c r="M41" s="125">
        <f>L41/J41</f>
        <v>0.99997941838574989</v>
      </c>
      <c r="N41" s="348">
        <f t="shared" si="67"/>
        <v>0</v>
      </c>
      <c r="O41" s="121">
        <f t="shared" si="5"/>
        <v>0</v>
      </c>
      <c r="P41" s="81">
        <f>SUM(P42:P45)</f>
        <v>22397006.899999999</v>
      </c>
      <c r="Q41" s="73">
        <f t="shared" si="49"/>
        <v>0.99997941838574989</v>
      </c>
      <c r="R41" s="78">
        <f>SUM(R42:R45)</f>
        <v>22397006.899999999</v>
      </c>
      <c r="S41" s="73">
        <f t="shared" si="50"/>
        <v>0.99997941838574989</v>
      </c>
      <c r="T41" s="78">
        <f t="shared" ref="T41:X41" si="68">SUM(T42:T45)</f>
        <v>16579562.34</v>
      </c>
      <c r="U41" s="78">
        <f t="shared" si="68"/>
        <v>0</v>
      </c>
      <c r="V41" s="78">
        <f t="shared" si="68"/>
        <v>0</v>
      </c>
      <c r="W41" s="78">
        <f t="shared" si="68"/>
        <v>0</v>
      </c>
      <c r="X41" s="78">
        <f t="shared" si="68"/>
        <v>0</v>
      </c>
      <c r="Y41" s="78">
        <f t="shared" si="2"/>
        <v>16579562.34</v>
      </c>
      <c r="Z41" s="113">
        <f t="shared" si="17"/>
        <v>16579562.34</v>
      </c>
      <c r="AA41" s="78">
        <f>SUM(AA42:AA45)</f>
        <v>0</v>
      </c>
      <c r="AB41" s="131"/>
      <c r="AC41" s="78">
        <f>SUM(AC42:AC45)</f>
        <v>16579562.34</v>
      </c>
      <c r="AD41" s="73">
        <f t="shared" si="52"/>
        <v>0.74024271099561456</v>
      </c>
      <c r="AE41" s="136">
        <f>SUM(AE42:AE45)</f>
        <v>1.7798509719296484E-3</v>
      </c>
      <c r="AF41" s="166">
        <f t="shared" si="41"/>
        <v>460.97604400292039</v>
      </c>
      <c r="AG41" s="167">
        <f t="shared" si="53"/>
        <v>2.0581614250063219E-5</v>
      </c>
      <c r="AH41" s="120"/>
      <c r="AI41" s="82"/>
      <c r="AJ41" s="238" t="s">
        <v>408</v>
      </c>
      <c r="AK41" s="348">
        <f>SUM(AK42:AK45)</f>
        <v>1000000</v>
      </c>
      <c r="AL41" s="348">
        <f>SUM(AL42:AL45)</f>
        <v>1000000</v>
      </c>
      <c r="AM41" s="125">
        <v>0</v>
      </c>
      <c r="AN41" s="82"/>
      <c r="AO41" s="348">
        <f>SUM(AO42:AO45)</f>
        <v>544140</v>
      </c>
      <c r="AP41" s="348">
        <f>SUM(AP42:AP45)</f>
        <v>1000000</v>
      </c>
      <c r="AQ41" s="348">
        <f>SUM(AQ42:AQ45)</f>
        <v>1000000</v>
      </c>
      <c r="AR41" s="125">
        <f t="shared" si="35"/>
        <v>3.938602542856328E-2</v>
      </c>
      <c r="AS41" s="120"/>
      <c r="AT41" s="120"/>
      <c r="AU41" s="382"/>
      <c r="AV41" s="256"/>
      <c r="AW41" s="244"/>
      <c r="AX41" s="244"/>
      <c r="AY41" s="244"/>
    </row>
    <row r="42" spans="1:51" ht="100.9" customHeight="1">
      <c r="A42" s="375" t="s">
        <v>18</v>
      </c>
      <c r="B42" s="69" t="s">
        <v>468</v>
      </c>
      <c r="C42" s="70" t="s">
        <v>0</v>
      </c>
      <c r="D42" s="70" t="s">
        <v>5</v>
      </c>
      <c r="E42" s="70"/>
      <c r="F42" s="348">
        <v>0</v>
      </c>
      <c r="G42" s="348"/>
      <c r="H42" s="348">
        <v>0</v>
      </c>
      <c r="I42" s="348"/>
      <c r="J42" s="348">
        <v>0</v>
      </c>
      <c r="K42" s="348">
        <v>0</v>
      </c>
      <c r="L42" s="348"/>
      <c r="M42" s="125"/>
      <c r="N42" s="348"/>
      <c r="O42" s="127"/>
      <c r="P42" s="348">
        <v>0</v>
      </c>
      <c r="Q42" s="73">
        <v>0</v>
      </c>
      <c r="R42" s="76">
        <v>0</v>
      </c>
      <c r="S42" s="73">
        <v>0</v>
      </c>
      <c r="T42" s="109">
        <v>0</v>
      </c>
      <c r="U42" s="109">
        <v>0</v>
      </c>
      <c r="V42" s="109">
        <v>0</v>
      </c>
      <c r="W42" s="109">
        <v>0</v>
      </c>
      <c r="X42" s="109">
        <v>0</v>
      </c>
      <c r="Y42" s="76">
        <f t="shared" si="2"/>
        <v>0</v>
      </c>
      <c r="Z42" s="77">
        <f t="shared" si="17"/>
        <v>0</v>
      </c>
      <c r="AA42" s="77"/>
      <c r="AB42" s="125"/>
      <c r="AC42" s="77">
        <f t="shared" ref="AC42:AC45" si="69">SUM(T42:V42)</f>
        <v>0</v>
      </c>
      <c r="AD42" s="73">
        <v>0</v>
      </c>
      <c r="AE42" s="125"/>
      <c r="AF42" s="166">
        <f t="shared" si="41"/>
        <v>0</v>
      </c>
      <c r="AG42" s="167">
        <v>0</v>
      </c>
      <c r="AH42" s="147"/>
      <c r="AI42" s="147"/>
      <c r="AJ42" s="238" t="s">
        <v>409</v>
      </c>
      <c r="AK42" s="348">
        <v>0</v>
      </c>
      <c r="AL42" s="348">
        <v>0</v>
      </c>
      <c r="AM42" s="125">
        <v>0</v>
      </c>
      <c r="AN42" s="82"/>
      <c r="AO42" s="348">
        <v>0</v>
      </c>
      <c r="AP42" s="120"/>
      <c r="AQ42" s="120"/>
      <c r="AR42" s="125" t="e">
        <f t="shared" si="35"/>
        <v>#DIV/0!</v>
      </c>
      <c r="AS42" s="120"/>
      <c r="AT42" s="120"/>
      <c r="AU42" s="382"/>
      <c r="AV42" s="256"/>
      <c r="AW42" s="42"/>
      <c r="AX42" s="42"/>
      <c r="AY42" s="42"/>
    </row>
    <row r="43" spans="1:51" ht="49.5">
      <c r="A43" s="377" t="s">
        <v>19</v>
      </c>
      <c r="B43" s="345" t="s">
        <v>469</v>
      </c>
      <c r="C43" s="178" t="s">
        <v>0</v>
      </c>
      <c r="D43" s="178" t="s">
        <v>156</v>
      </c>
      <c r="E43" s="178"/>
      <c r="F43" s="349">
        <v>5441400</v>
      </c>
      <c r="G43" s="349"/>
      <c r="H43" s="349">
        <v>5441400</v>
      </c>
      <c r="I43" s="349"/>
      <c r="J43" s="349">
        <v>5441400</v>
      </c>
      <c r="K43" s="349">
        <v>5441400</v>
      </c>
      <c r="L43" s="349">
        <v>5440938.9000000004</v>
      </c>
      <c r="M43" s="179">
        <f>L43/J43</f>
        <v>0.99991526077847614</v>
      </c>
      <c r="N43" s="349"/>
      <c r="O43" s="180">
        <f t="shared" si="5"/>
        <v>0</v>
      </c>
      <c r="P43" s="349">
        <v>5440938.9000000004</v>
      </c>
      <c r="Q43" s="181">
        <f>P43/J43</f>
        <v>0.99991526077847614</v>
      </c>
      <c r="R43" s="182">
        <v>5440938.9000000004</v>
      </c>
      <c r="S43" s="181">
        <f>R43/J43</f>
        <v>0.99991526077847614</v>
      </c>
      <c r="T43" s="349">
        <v>3093883.41</v>
      </c>
      <c r="U43" s="182">
        <v>0</v>
      </c>
      <c r="V43" s="182">
        <v>0</v>
      </c>
      <c r="W43" s="182">
        <v>0</v>
      </c>
      <c r="X43" s="182">
        <v>0</v>
      </c>
      <c r="Y43" s="182">
        <f t="shared" si="2"/>
        <v>3093883.41</v>
      </c>
      <c r="Z43" s="184">
        <f t="shared" si="17"/>
        <v>3093883.41</v>
      </c>
      <c r="AA43" s="184"/>
      <c r="AB43" s="179"/>
      <c r="AC43" s="184">
        <f t="shared" si="69"/>
        <v>3093883.41</v>
      </c>
      <c r="AD43" s="181">
        <f>AC43/J43</f>
        <v>0.56858224170250304</v>
      </c>
      <c r="AE43" s="179">
        <v>1.5869374788036211E-4</v>
      </c>
      <c r="AF43" s="185">
        <f t="shared" si="41"/>
        <v>461.09999999962747</v>
      </c>
      <c r="AG43" s="186">
        <f>AF43/J43</f>
        <v>8.4739221523804064E-5</v>
      </c>
      <c r="AH43" s="191"/>
      <c r="AI43" s="220"/>
      <c r="AJ43" s="239" t="s">
        <v>408</v>
      </c>
      <c r="AK43" s="349">
        <v>1000000</v>
      </c>
      <c r="AL43" s="349">
        <v>1000000</v>
      </c>
      <c r="AM43" s="207">
        <f>AL43/K43</f>
        <v>0.1837762340574117</v>
      </c>
      <c r="AN43" s="349" t="s">
        <v>432</v>
      </c>
      <c r="AO43" s="349">
        <v>544140</v>
      </c>
      <c r="AP43" s="320">
        <f>AL43</f>
        <v>1000000</v>
      </c>
      <c r="AQ43" s="320">
        <f>AL43</f>
        <v>1000000</v>
      </c>
      <c r="AR43" s="207">
        <f t="shared" si="35"/>
        <v>0.1837762340574117</v>
      </c>
      <c r="AS43" s="321" t="s">
        <v>433</v>
      </c>
      <c r="AT43" s="321" t="s">
        <v>434</v>
      </c>
      <c r="AU43" s="378"/>
      <c r="AV43" s="253"/>
      <c r="AW43" s="42"/>
      <c r="AX43" s="42"/>
      <c r="AY43" s="42"/>
    </row>
    <row r="44" spans="1:51" ht="50.45" customHeight="1">
      <c r="A44" s="375" t="s">
        <v>20</v>
      </c>
      <c r="B44" s="69" t="s">
        <v>470</v>
      </c>
      <c r="C44" s="70" t="s">
        <v>0</v>
      </c>
      <c r="D44" s="70" t="s">
        <v>5</v>
      </c>
      <c r="E44" s="70"/>
      <c r="F44" s="348">
        <v>0</v>
      </c>
      <c r="G44" s="348"/>
      <c r="H44" s="348">
        <v>0</v>
      </c>
      <c r="I44" s="348"/>
      <c r="J44" s="348">
        <v>0</v>
      </c>
      <c r="K44" s="348">
        <v>0</v>
      </c>
      <c r="L44" s="348"/>
      <c r="M44" s="125"/>
      <c r="N44" s="348"/>
      <c r="O44" s="127"/>
      <c r="P44" s="348">
        <v>0</v>
      </c>
      <c r="Q44" s="73">
        <v>0</v>
      </c>
      <c r="R44" s="76">
        <v>0</v>
      </c>
      <c r="S44" s="73">
        <v>0</v>
      </c>
      <c r="T44" s="109">
        <v>0</v>
      </c>
      <c r="U44" s="109">
        <v>0</v>
      </c>
      <c r="V44" s="109">
        <v>0</v>
      </c>
      <c r="W44" s="109">
        <v>0</v>
      </c>
      <c r="X44" s="109">
        <v>0</v>
      </c>
      <c r="Y44" s="76">
        <f t="shared" si="2"/>
        <v>0</v>
      </c>
      <c r="Z44" s="77">
        <f t="shared" si="17"/>
        <v>0</v>
      </c>
      <c r="AA44" s="77"/>
      <c r="AB44" s="125"/>
      <c r="AC44" s="77">
        <f t="shared" si="69"/>
        <v>0</v>
      </c>
      <c r="AD44" s="73">
        <v>0</v>
      </c>
      <c r="AE44" s="125"/>
      <c r="AF44" s="166">
        <f t="shared" si="41"/>
        <v>0</v>
      </c>
      <c r="AG44" s="167">
        <v>0</v>
      </c>
      <c r="AH44" s="145"/>
      <c r="AI44" s="147"/>
      <c r="AJ44" s="238" t="s">
        <v>409</v>
      </c>
      <c r="AK44" s="348">
        <v>0</v>
      </c>
      <c r="AL44" s="348">
        <v>0</v>
      </c>
      <c r="AM44" s="125">
        <v>0</v>
      </c>
      <c r="AN44" s="82"/>
      <c r="AO44" s="348">
        <v>0</v>
      </c>
      <c r="AP44" s="120"/>
      <c r="AQ44" s="120"/>
      <c r="AR44" s="125" t="e">
        <f t="shared" si="35"/>
        <v>#DIV/0!</v>
      </c>
      <c r="AS44" s="120"/>
      <c r="AT44" s="120"/>
      <c r="AU44" s="382"/>
      <c r="AV44" s="256"/>
      <c r="AW44" s="42"/>
      <c r="AX44" s="42"/>
      <c r="AY44" s="42"/>
    </row>
    <row r="45" spans="1:51" ht="67.150000000000006" customHeight="1">
      <c r="A45" s="375" t="s">
        <v>21</v>
      </c>
      <c r="B45" s="69" t="s">
        <v>471</v>
      </c>
      <c r="C45" s="70" t="s">
        <v>0</v>
      </c>
      <c r="D45" s="70" t="s">
        <v>5</v>
      </c>
      <c r="E45" s="70"/>
      <c r="F45" s="348">
        <v>16956067.876044001</v>
      </c>
      <c r="G45" s="348"/>
      <c r="H45" s="348">
        <v>16956067.876044001</v>
      </c>
      <c r="I45" s="348"/>
      <c r="J45" s="348">
        <v>16956067.876044001</v>
      </c>
      <c r="K45" s="348">
        <v>19948316</v>
      </c>
      <c r="L45" s="348">
        <v>16956068</v>
      </c>
      <c r="M45" s="125">
        <f>L45/J45</f>
        <v>1.0000000073104212</v>
      </c>
      <c r="N45" s="348"/>
      <c r="O45" s="127">
        <f t="shared" si="5"/>
        <v>0</v>
      </c>
      <c r="P45" s="348">
        <v>16956068</v>
      </c>
      <c r="Q45" s="73">
        <f>P45/J45</f>
        <v>1.0000000073104212</v>
      </c>
      <c r="R45" s="76">
        <v>16956068</v>
      </c>
      <c r="S45" s="73">
        <f>R45/J45</f>
        <v>1.0000000073104212</v>
      </c>
      <c r="T45" s="76">
        <v>13485678.93</v>
      </c>
      <c r="U45" s="109">
        <v>0</v>
      </c>
      <c r="V45" s="109">
        <v>0</v>
      </c>
      <c r="W45" s="109">
        <v>0</v>
      </c>
      <c r="X45" s="109">
        <v>0</v>
      </c>
      <c r="Y45" s="76">
        <f t="shared" si="2"/>
        <v>13485678.93</v>
      </c>
      <c r="Z45" s="77">
        <f t="shared" si="17"/>
        <v>13485678.93</v>
      </c>
      <c r="AA45" s="77"/>
      <c r="AB45" s="125"/>
      <c r="AC45" s="77">
        <f t="shared" si="69"/>
        <v>13485678.93</v>
      </c>
      <c r="AD45" s="73">
        <f>AC45/J45</f>
        <v>0.79533055827483079</v>
      </c>
      <c r="AE45" s="125">
        <v>1.6211572240492863E-3</v>
      </c>
      <c r="AF45" s="166">
        <f t="shared" si="41"/>
        <v>-0.12395599856972694</v>
      </c>
      <c r="AG45" s="167">
        <f>AF45/J45</f>
        <v>-7.3104212294912661E-9</v>
      </c>
      <c r="AH45" s="145" t="s">
        <v>346</v>
      </c>
      <c r="AI45" s="147"/>
      <c r="AJ45" s="238" t="s">
        <v>409</v>
      </c>
      <c r="AK45" s="348">
        <v>0</v>
      </c>
      <c r="AL45" s="348">
        <v>0</v>
      </c>
      <c r="AM45" s="125">
        <v>0</v>
      </c>
      <c r="AN45" s="82"/>
      <c r="AO45" s="348">
        <v>0</v>
      </c>
      <c r="AP45" s="120"/>
      <c r="AQ45" s="120"/>
      <c r="AR45" s="125">
        <f t="shared" si="35"/>
        <v>0</v>
      </c>
      <c r="AS45" s="120"/>
      <c r="AT45" s="120"/>
      <c r="AU45" s="382"/>
      <c r="AV45" s="256"/>
      <c r="AW45" s="42"/>
      <c r="AX45" s="42"/>
      <c r="AY45" s="42"/>
    </row>
    <row r="46" spans="1:51" ht="82.5">
      <c r="A46" s="375" t="s">
        <v>22</v>
      </c>
      <c r="B46" s="69" t="s">
        <v>472</v>
      </c>
      <c r="C46" s="70" t="s">
        <v>0</v>
      </c>
      <c r="D46" s="70" t="s">
        <v>5</v>
      </c>
      <c r="E46" s="70"/>
      <c r="F46" s="348">
        <v>0</v>
      </c>
      <c r="G46" s="348"/>
      <c r="H46" s="348">
        <v>0</v>
      </c>
      <c r="I46" s="348"/>
      <c r="J46" s="348">
        <v>0</v>
      </c>
      <c r="K46" s="348">
        <v>0</v>
      </c>
      <c r="L46" s="348">
        <v>0</v>
      </c>
      <c r="M46" s="125">
        <v>0</v>
      </c>
      <c r="N46" s="348">
        <v>0</v>
      </c>
      <c r="O46" s="127"/>
      <c r="P46" s="348">
        <f>SUM(P47:P48)</f>
        <v>0</v>
      </c>
      <c r="Q46" s="73">
        <v>0</v>
      </c>
      <c r="R46" s="76">
        <f>SUM(R47:R48)</f>
        <v>0</v>
      </c>
      <c r="S46" s="73">
        <v>0</v>
      </c>
      <c r="T46" s="76">
        <f t="shared" ref="T46:X46" si="70">SUM(T47:T48)</f>
        <v>0</v>
      </c>
      <c r="U46" s="76">
        <f t="shared" si="70"/>
        <v>0</v>
      </c>
      <c r="V46" s="76">
        <f t="shared" si="70"/>
        <v>0</v>
      </c>
      <c r="W46" s="76">
        <f t="shared" si="70"/>
        <v>0</v>
      </c>
      <c r="X46" s="76">
        <f t="shared" si="70"/>
        <v>0</v>
      </c>
      <c r="Y46" s="78">
        <f t="shared" si="2"/>
        <v>0</v>
      </c>
      <c r="Z46" s="113">
        <f t="shared" si="17"/>
        <v>0</v>
      </c>
      <c r="AA46" s="76">
        <f>SUM(AA47:AA48)</f>
        <v>0</v>
      </c>
      <c r="AB46" s="131"/>
      <c r="AC46" s="76">
        <f>SUM(AC47:AC48)</f>
        <v>0</v>
      </c>
      <c r="AD46" s="73">
        <v>0</v>
      </c>
      <c r="AE46" s="125"/>
      <c r="AF46" s="166">
        <f t="shared" si="41"/>
        <v>0</v>
      </c>
      <c r="AG46" s="167">
        <v>0</v>
      </c>
      <c r="AH46" s="120"/>
      <c r="AI46" s="82"/>
      <c r="AJ46" s="238" t="s">
        <v>408</v>
      </c>
      <c r="AK46" s="348">
        <f>AL46*85%</f>
        <v>1700000</v>
      </c>
      <c r="AL46" s="348">
        <f>SUM(AL47:AL48)</f>
        <v>2000000</v>
      </c>
      <c r="AM46" s="92">
        <v>1</v>
      </c>
      <c r="AN46" s="82"/>
      <c r="AO46" s="348">
        <f>SUM(AO47:AO48)</f>
        <v>2000000</v>
      </c>
      <c r="AP46" s="348">
        <f>SUM(AP47:AP48)</f>
        <v>2000000</v>
      </c>
      <c r="AQ46" s="348">
        <f>SUM(AQ47:AQ48)</f>
        <v>2000000</v>
      </c>
      <c r="AR46" s="92" t="e">
        <f t="shared" si="35"/>
        <v>#DIV/0!</v>
      </c>
      <c r="AS46" s="120"/>
      <c r="AT46" s="120"/>
      <c r="AU46" s="382"/>
      <c r="AV46" s="256"/>
    </row>
    <row r="47" spans="1:51" ht="129" customHeight="1">
      <c r="A47" s="377" t="s">
        <v>23</v>
      </c>
      <c r="B47" s="345" t="s">
        <v>473</v>
      </c>
      <c r="C47" s="178" t="s">
        <v>0</v>
      </c>
      <c r="D47" s="178" t="s">
        <v>5</v>
      </c>
      <c r="E47" s="178"/>
      <c r="F47" s="349">
        <v>0</v>
      </c>
      <c r="G47" s="349"/>
      <c r="H47" s="349">
        <v>0</v>
      </c>
      <c r="I47" s="349"/>
      <c r="J47" s="349">
        <v>0</v>
      </c>
      <c r="K47" s="349">
        <v>0</v>
      </c>
      <c r="L47" s="349"/>
      <c r="M47" s="179"/>
      <c r="N47" s="349"/>
      <c r="O47" s="180"/>
      <c r="P47" s="349">
        <v>0</v>
      </c>
      <c r="Q47" s="181">
        <v>0</v>
      </c>
      <c r="R47" s="182">
        <v>0</v>
      </c>
      <c r="S47" s="181">
        <v>0</v>
      </c>
      <c r="T47" s="183">
        <v>0</v>
      </c>
      <c r="U47" s="183">
        <v>0</v>
      </c>
      <c r="V47" s="183">
        <v>0</v>
      </c>
      <c r="W47" s="183">
        <v>0</v>
      </c>
      <c r="X47" s="183">
        <v>0</v>
      </c>
      <c r="Y47" s="182">
        <f t="shared" si="2"/>
        <v>0</v>
      </c>
      <c r="Z47" s="184">
        <f t="shared" si="17"/>
        <v>0</v>
      </c>
      <c r="AA47" s="184"/>
      <c r="AB47" s="179"/>
      <c r="AC47" s="184">
        <f t="shared" ref="AC47:AC48" si="71">SUM(T47:V47)</f>
        <v>0</v>
      </c>
      <c r="AD47" s="181">
        <v>0</v>
      </c>
      <c r="AE47" s="179"/>
      <c r="AF47" s="185">
        <f t="shared" si="41"/>
        <v>0</v>
      </c>
      <c r="AG47" s="186">
        <v>0</v>
      </c>
      <c r="AH47" s="218"/>
      <c r="AI47" s="218"/>
      <c r="AJ47" s="239" t="s">
        <v>408</v>
      </c>
      <c r="AK47" s="349">
        <f>AL47*85%</f>
        <v>1700000</v>
      </c>
      <c r="AL47" s="349">
        <v>2000000</v>
      </c>
      <c r="AM47" s="179">
        <v>1</v>
      </c>
      <c r="AN47" s="220"/>
      <c r="AO47" s="349">
        <v>0</v>
      </c>
      <c r="AP47" s="349">
        <v>2000000</v>
      </c>
      <c r="AQ47" s="349">
        <v>2000000</v>
      </c>
      <c r="AR47" s="179" t="e">
        <f t="shared" si="35"/>
        <v>#DIV/0!</v>
      </c>
      <c r="AS47" s="207" t="s">
        <v>433</v>
      </c>
      <c r="AT47" s="189" t="s">
        <v>711</v>
      </c>
      <c r="AU47" s="378"/>
      <c r="AV47" s="256"/>
      <c r="AW47" s="42"/>
      <c r="AX47" s="42"/>
      <c r="AY47" s="42"/>
    </row>
    <row r="48" spans="1:51" ht="154.5" customHeight="1">
      <c r="A48" s="375" t="s">
        <v>24</v>
      </c>
      <c r="B48" s="69" t="s">
        <v>474</v>
      </c>
      <c r="C48" s="70" t="s">
        <v>0</v>
      </c>
      <c r="D48" s="70" t="s">
        <v>5</v>
      </c>
      <c r="E48" s="70"/>
      <c r="F48" s="348">
        <v>0</v>
      </c>
      <c r="G48" s="348"/>
      <c r="H48" s="348">
        <v>0</v>
      </c>
      <c r="I48" s="348"/>
      <c r="J48" s="348">
        <v>0</v>
      </c>
      <c r="K48" s="348">
        <v>0</v>
      </c>
      <c r="L48" s="348"/>
      <c r="M48" s="125"/>
      <c r="N48" s="348"/>
      <c r="O48" s="132"/>
      <c r="P48" s="348">
        <v>0</v>
      </c>
      <c r="Q48" s="73">
        <v>0</v>
      </c>
      <c r="R48" s="76">
        <v>0</v>
      </c>
      <c r="S48" s="73">
        <v>0</v>
      </c>
      <c r="T48" s="109">
        <v>0</v>
      </c>
      <c r="U48" s="109">
        <v>0</v>
      </c>
      <c r="V48" s="109">
        <v>0</v>
      </c>
      <c r="W48" s="109">
        <v>0</v>
      </c>
      <c r="X48" s="109">
        <v>0</v>
      </c>
      <c r="Y48" s="76">
        <f t="shared" si="2"/>
        <v>0</v>
      </c>
      <c r="Z48" s="77">
        <f t="shared" si="17"/>
        <v>0</v>
      </c>
      <c r="AA48" s="77"/>
      <c r="AB48" s="125"/>
      <c r="AC48" s="77">
        <f t="shared" si="71"/>
        <v>0</v>
      </c>
      <c r="AD48" s="73">
        <v>0</v>
      </c>
      <c r="AE48" s="125"/>
      <c r="AF48" s="169">
        <f t="shared" si="41"/>
        <v>0</v>
      </c>
      <c r="AG48" s="177">
        <v>0</v>
      </c>
      <c r="AH48" s="120"/>
      <c r="AI48" s="82"/>
      <c r="AJ48" s="238" t="s">
        <v>409</v>
      </c>
      <c r="AK48" s="76">
        <v>0</v>
      </c>
      <c r="AL48" s="76">
        <v>0</v>
      </c>
      <c r="AM48" s="340">
        <v>0</v>
      </c>
      <c r="AN48" s="341" t="s">
        <v>433</v>
      </c>
      <c r="AO48" s="76">
        <v>2000000</v>
      </c>
      <c r="AP48" s="342"/>
      <c r="AQ48" s="342"/>
      <c r="AR48" s="340" t="e">
        <f t="shared" si="35"/>
        <v>#DIV/0!</v>
      </c>
      <c r="AS48" s="343"/>
      <c r="AT48" s="165"/>
      <c r="AU48" s="385"/>
      <c r="AV48" s="258"/>
    </row>
    <row r="49" spans="1:51" s="50" customFormat="1" ht="84" customHeight="1">
      <c r="A49" s="381" t="s">
        <v>25</v>
      </c>
      <c r="B49" s="74" t="s">
        <v>475</v>
      </c>
      <c r="C49" s="75" t="s">
        <v>0</v>
      </c>
      <c r="D49" s="75" t="s">
        <v>5</v>
      </c>
      <c r="E49" s="75"/>
      <c r="F49" s="348">
        <f>SUM(F50:F51)</f>
        <v>973356.13064400002</v>
      </c>
      <c r="G49" s="348"/>
      <c r="H49" s="348">
        <f>SUM(H50:H51)</f>
        <v>973356.13064400002</v>
      </c>
      <c r="I49" s="348"/>
      <c r="J49" s="348">
        <f>SUM(J50:J51)</f>
        <v>973356.13064400002</v>
      </c>
      <c r="K49" s="348">
        <f>SUM(K50:K51)</f>
        <v>973356</v>
      </c>
      <c r="L49" s="348">
        <f t="shared" ref="L49:N49" si="72">SUM(L50:L51)</f>
        <v>973356</v>
      </c>
      <c r="M49" s="125">
        <f>L49/J49</f>
        <v>0.999999865779856</v>
      </c>
      <c r="N49" s="348">
        <f t="shared" si="72"/>
        <v>0</v>
      </c>
      <c r="O49" s="127">
        <f t="shared" si="5"/>
        <v>0</v>
      </c>
      <c r="P49" s="81">
        <v>973356</v>
      </c>
      <c r="Q49" s="73">
        <f>P49/J49</f>
        <v>0.999999865779856</v>
      </c>
      <c r="R49" s="78">
        <f>SUM(R50:R51)</f>
        <v>973356</v>
      </c>
      <c r="S49" s="73">
        <f>R49/J49</f>
        <v>0.999999865779856</v>
      </c>
      <c r="T49" s="78">
        <f>SUM(T50:T51)</f>
        <v>157066.97</v>
      </c>
      <c r="U49" s="78">
        <f t="shared" ref="U49:W49" si="73">SUM(U50:U51)</f>
        <v>0</v>
      </c>
      <c r="V49" s="78">
        <f t="shared" si="73"/>
        <v>0</v>
      </c>
      <c r="W49" s="78">
        <f t="shared" si="73"/>
        <v>0</v>
      </c>
      <c r="X49" s="78">
        <v>0</v>
      </c>
      <c r="Y49" s="78">
        <f t="shared" si="2"/>
        <v>157066.97</v>
      </c>
      <c r="Z49" s="113">
        <f t="shared" si="17"/>
        <v>157066.97</v>
      </c>
      <c r="AA49" s="78">
        <f>SUM(AA50:AA51)</f>
        <v>0</v>
      </c>
      <c r="AB49" s="131"/>
      <c r="AC49" s="78">
        <f>SUM(AC50:AC51)</f>
        <v>157066.97</v>
      </c>
      <c r="AD49" s="73">
        <f>AC49/J49</f>
        <v>0.16136639515084786</v>
      </c>
      <c r="AE49" s="136"/>
      <c r="AF49" s="166">
        <f t="shared" si="41"/>
        <v>0.13064400001894683</v>
      </c>
      <c r="AG49" s="167">
        <f>AF49/J49</f>
        <v>1.3422014400064347E-7</v>
      </c>
      <c r="AH49" s="120"/>
      <c r="AI49" s="82"/>
      <c r="AJ49" s="238" t="s">
        <v>409</v>
      </c>
      <c r="AK49" s="348">
        <v>0</v>
      </c>
      <c r="AL49" s="348">
        <f>SUM(AL50:AL51)</f>
        <v>0</v>
      </c>
      <c r="AM49" s="125">
        <v>0</v>
      </c>
      <c r="AN49" s="82"/>
      <c r="AO49" s="348">
        <f>SUM(AO50:AO51)</f>
        <v>0</v>
      </c>
      <c r="AP49" s="120"/>
      <c r="AQ49" s="120"/>
      <c r="AR49" s="125">
        <f t="shared" si="35"/>
        <v>0</v>
      </c>
      <c r="AS49" s="120"/>
      <c r="AT49" s="120"/>
      <c r="AU49" s="382"/>
      <c r="AV49" s="256"/>
    </row>
    <row r="50" spans="1:51" ht="84" customHeight="1">
      <c r="A50" s="375" t="s">
        <v>26</v>
      </c>
      <c r="B50" s="69" t="s">
        <v>475</v>
      </c>
      <c r="C50" s="70" t="s">
        <v>0</v>
      </c>
      <c r="D50" s="70" t="s">
        <v>5</v>
      </c>
      <c r="E50" s="70"/>
      <c r="F50" s="348">
        <v>0</v>
      </c>
      <c r="G50" s="348"/>
      <c r="H50" s="348">
        <v>0</v>
      </c>
      <c r="I50" s="348"/>
      <c r="J50" s="348">
        <v>0</v>
      </c>
      <c r="K50" s="348">
        <v>0</v>
      </c>
      <c r="L50" s="348"/>
      <c r="M50" s="125"/>
      <c r="N50" s="348"/>
      <c r="O50" s="127"/>
      <c r="P50" s="348">
        <v>0</v>
      </c>
      <c r="Q50" s="73">
        <v>0</v>
      </c>
      <c r="R50" s="76">
        <v>0</v>
      </c>
      <c r="S50" s="73">
        <v>0</v>
      </c>
      <c r="T50" s="109">
        <v>0</v>
      </c>
      <c r="U50" s="109">
        <v>0</v>
      </c>
      <c r="V50" s="109">
        <v>0</v>
      </c>
      <c r="W50" s="109">
        <v>0</v>
      </c>
      <c r="X50" s="109">
        <v>0</v>
      </c>
      <c r="Y50" s="76">
        <f t="shared" si="2"/>
        <v>0</v>
      </c>
      <c r="Z50" s="77">
        <f t="shared" si="17"/>
        <v>0</v>
      </c>
      <c r="AA50" s="77"/>
      <c r="AB50" s="125"/>
      <c r="AC50" s="77">
        <f t="shared" ref="AC50:AC51" si="74">SUM(T50:V50)</f>
        <v>0</v>
      </c>
      <c r="AD50" s="73">
        <v>0</v>
      </c>
      <c r="AE50" s="125"/>
      <c r="AF50" s="166">
        <f t="shared" si="41"/>
        <v>0</v>
      </c>
      <c r="AG50" s="167">
        <v>0</v>
      </c>
      <c r="AH50" s="120"/>
      <c r="AI50" s="82"/>
      <c r="AJ50" s="238" t="s">
        <v>409</v>
      </c>
      <c r="AK50" s="348">
        <v>0</v>
      </c>
      <c r="AL50" s="348">
        <v>0</v>
      </c>
      <c r="AM50" s="125">
        <v>0</v>
      </c>
      <c r="AN50" s="82"/>
      <c r="AO50" s="348">
        <v>0</v>
      </c>
      <c r="AP50" s="120"/>
      <c r="AQ50" s="120"/>
      <c r="AR50" s="125" t="e">
        <f t="shared" si="35"/>
        <v>#DIV/0!</v>
      </c>
      <c r="AS50" s="120"/>
      <c r="AT50" s="120"/>
      <c r="AU50" s="382"/>
      <c r="AV50" s="256"/>
      <c r="AW50" s="42"/>
      <c r="AX50" s="42"/>
      <c r="AY50" s="42"/>
    </row>
    <row r="51" spans="1:51" ht="109.15" customHeight="1">
      <c r="A51" s="375" t="s">
        <v>27</v>
      </c>
      <c r="B51" s="69" t="s">
        <v>476</v>
      </c>
      <c r="C51" s="70" t="s">
        <v>0</v>
      </c>
      <c r="D51" s="70" t="s">
        <v>5</v>
      </c>
      <c r="E51" s="70"/>
      <c r="F51" s="348">
        <v>973356.13064400002</v>
      </c>
      <c r="G51" s="348"/>
      <c r="H51" s="348">
        <v>973356.13064400002</v>
      </c>
      <c r="I51" s="348"/>
      <c r="J51" s="348">
        <v>973356.13064400002</v>
      </c>
      <c r="K51" s="348">
        <v>973356</v>
      </c>
      <c r="L51" s="348">
        <v>973356</v>
      </c>
      <c r="M51" s="125">
        <f>L51/J51</f>
        <v>0.999999865779856</v>
      </c>
      <c r="N51" s="348"/>
      <c r="O51" s="127">
        <f t="shared" si="5"/>
        <v>0</v>
      </c>
      <c r="P51" s="348">
        <v>973356</v>
      </c>
      <c r="Q51" s="73">
        <f t="shared" ref="Q51:Q68" si="75">P51/J51</f>
        <v>0.999999865779856</v>
      </c>
      <c r="R51" s="76">
        <v>973356</v>
      </c>
      <c r="S51" s="73">
        <f t="shared" ref="S51:S68" si="76">R51/J51</f>
        <v>0.999999865779856</v>
      </c>
      <c r="T51" s="109">
        <v>157066.97</v>
      </c>
      <c r="U51" s="109">
        <v>0</v>
      </c>
      <c r="V51" s="109">
        <v>0</v>
      </c>
      <c r="W51" s="109">
        <v>0</v>
      </c>
      <c r="X51" s="109">
        <v>0</v>
      </c>
      <c r="Y51" s="76">
        <f t="shared" si="2"/>
        <v>157066.97</v>
      </c>
      <c r="Z51" s="77">
        <f t="shared" si="17"/>
        <v>157066.97</v>
      </c>
      <c r="AA51" s="77"/>
      <c r="AB51" s="125"/>
      <c r="AC51" s="77">
        <f t="shared" si="74"/>
        <v>157066.97</v>
      </c>
      <c r="AD51" s="73">
        <f t="shared" ref="AD51:AD61" si="77">AC51/J51</f>
        <v>0.16136639515084786</v>
      </c>
      <c r="AE51" s="125">
        <v>2.9643011467927474E-4</v>
      </c>
      <c r="AF51" s="166">
        <f t="shared" si="41"/>
        <v>0.13064400001894683</v>
      </c>
      <c r="AG51" s="167">
        <f t="shared" ref="AG51:AG68" si="78">AF51/J51</f>
        <v>1.3422014400064347E-7</v>
      </c>
      <c r="AH51" s="145" t="s">
        <v>347</v>
      </c>
      <c r="AI51" s="147"/>
      <c r="AJ51" s="238" t="s">
        <v>409</v>
      </c>
      <c r="AK51" s="348">
        <v>0</v>
      </c>
      <c r="AL51" s="348">
        <v>0</v>
      </c>
      <c r="AM51" s="125">
        <v>0</v>
      </c>
      <c r="AN51" s="82"/>
      <c r="AO51" s="348">
        <v>0</v>
      </c>
      <c r="AP51" s="120"/>
      <c r="AQ51" s="120"/>
      <c r="AR51" s="125">
        <f t="shared" si="35"/>
        <v>0</v>
      </c>
      <c r="AS51" s="120"/>
      <c r="AT51" s="120"/>
      <c r="AU51" s="382"/>
      <c r="AV51" s="256"/>
      <c r="AW51" s="42"/>
      <c r="AX51" s="42"/>
      <c r="AY51" s="42"/>
    </row>
    <row r="52" spans="1:51" s="50" customFormat="1" ht="100.9" customHeight="1">
      <c r="A52" s="381" t="s">
        <v>28</v>
      </c>
      <c r="B52" s="74" t="s">
        <v>477</v>
      </c>
      <c r="C52" s="75" t="s">
        <v>0</v>
      </c>
      <c r="D52" s="75" t="s">
        <v>5</v>
      </c>
      <c r="E52" s="75"/>
      <c r="F52" s="348">
        <f>SUM(F53:F54)</f>
        <v>9593274</v>
      </c>
      <c r="G52" s="348"/>
      <c r="H52" s="348">
        <f>SUM(H53:H54)</f>
        <v>9593274</v>
      </c>
      <c r="I52" s="348"/>
      <c r="J52" s="348">
        <f>SUM(J53:J54)</f>
        <v>9593274</v>
      </c>
      <c r="K52" s="348">
        <f>SUM(K53:K54)</f>
        <v>10225798</v>
      </c>
      <c r="L52" s="348">
        <f t="shared" ref="L52:N52" si="79">SUM(L53:L54)</f>
        <v>40771261.769999996</v>
      </c>
      <c r="M52" s="125">
        <f>L52/J52</f>
        <v>4.2499840794706785</v>
      </c>
      <c r="N52" s="348">
        <f t="shared" si="79"/>
        <v>31084287.399999999</v>
      </c>
      <c r="O52" s="127">
        <f t="shared" si="5"/>
        <v>3.2402167810488889</v>
      </c>
      <c r="P52" s="81">
        <f>SUM(P53:P54)</f>
        <v>9504524.370000001</v>
      </c>
      <c r="Q52" s="73">
        <f t="shared" si="75"/>
        <v>0.99074876522863842</v>
      </c>
      <c r="R52" s="78">
        <f>SUM(R53:R54)</f>
        <v>9504524.370000001</v>
      </c>
      <c r="S52" s="73">
        <f t="shared" si="76"/>
        <v>0.99074876522863842</v>
      </c>
      <c r="T52" s="78">
        <f t="shared" ref="T52:X52" si="80">SUM(T53:T54)</f>
        <v>2326553.2600000002</v>
      </c>
      <c r="U52" s="78">
        <f t="shared" si="80"/>
        <v>0</v>
      </c>
      <c r="V52" s="78">
        <f t="shared" si="80"/>
        <v>1459275.26</v>
      </c>
      <c r="W52" s="78">
        <f t="shared" si="80"/>
        <v>225435.14</v>
      </c>
      <c r="X52" s="78">
        <f t="shared" si="80"/>
        <v>0</v>
      </c>
      <c r="Y52" s="78">
        <f t="shared" si="2"/>
        <v>3785828.52</v>
      </c>
      <c r="Z52" s="113">
        <f t="shared" si="17"/>
        <v>2551988.4000000004</v>
      </c>
      <c r="AA52" s="78">
        <f>SUM(AA53:AA54)</f>
        <v>182450</v>
      </c>
      <c r="AB52" s="131">
        <f>AA52/J52</f>
        <v>1.9018533193151787E-2</v>
      </c>
      <c r="AC52" s="78">
        <f>SUM(AC53:AC54)</f>
        <v>3785828.52</v>
      </c>
      <c r="AD52" s="73">
        <f t="shared" si="77"/>
        <v>0.39463362768539706</v>
      </c>
      <c r="AE52" s="136"/>
      <c r="AF52" s="166">
        <f t="shared" si="41"/>
        <v>88749.629999998957</v>
      </c>
      <c r="AG52" s="167">
        <f t="shared" si="78"/>
        <v>9.2512347713615758E-3</v>
      </c>
      <c r="AH52" s="120"/>
      <c r="AI52" s="82"/>
      <c r="AJ52" s="238" t="s">
        <v>409</v>
      </c>
      <c r="AK52" s="348">
        <v>0</v>
      </c>
      <c r="AL52" s="348">
        <f>SUM(AL53:AL54)</f>
        <v>0</v>
      </c>
      <c r="AM52" s="125">
        <v>0</v>
      </c>
      <c r="AN52" s="82"/>
      <c r="AO52" s="348">
        <f>SUM(AO53:AO54)</f>
        <v>0</v>
      </c>
      <c r="AP52" s="120"/>
      <c r="AQ52" s="120"/>
      <c r="AR52" s="125">
        <f t="shared" si="35"/>
        <v>0</v>
      </c>
      <c r="AS52" s="120"/>
      <c r="AT52" s="120"/>
      <c r="AU52" s="382"/>
      <c r="AV52" s="256"/>
    </row>
    <row r="53" spans="1:51" ht="151.15" customHeight="1">
      <c r="A53" s="375" t="s">
        <v>29</v>
      </c>
      <c r="B53" s="69" t="s">
        <v>478</v>
      </c>
      <c r="C53" s="70" t="s">
        <v>0</v>
      </c>
      <c r="D53" s="70" t="s">
        <v>5</v>
      </c>
      <c r="E53" s="70"/>
      <c r="F53" s="348">
        <v>3584300</v>
      </c>
      <c r="G53" s="348"/>
      <c r="H53" s="348">
        <v>3584300</v>
      </c>
      <c r="I53" s="348"/>
      <c r="J53" s="348">
        <v>3584300</v>
      </c>
      <c r="K53" s="348">
        <v>4216824</v>
      </c>
      <c r="L53" s="348">
        <v>7501450</v>
      </c>
      <c r="M53" s="125">
        <f t="shared" ref="M53:M54" si="81">L53/J53</f>
        <v>2.0928633205925844</v>
      </c>
      <c r="N53" s="348">
        <v>3917150</v>
      </c>
      <c r="O53" s="127">
        <f t="shared" si="5"/>
        <v>1.0928633205925844</v>
      </c>
      <c r="P53" s="348">
        <v>3584300</v>
      </c>
      <c r="Q53" s="73">
        <f t="shared" si="75"/>
        <v>1</v>
      </c>
      <c r="R53" s="76">
        <v>3584300</v>
      </c>
      <c r="S53" s="73">
        <f t="shared" si="76"/>
        <v>1</v>
      </c>
      <c r="T53" s="76">
        <v>129166.68</v>
      </c>
      <c r="U53" s="76">
        <v>0</v>
      </c>
      <c r="V53" s="76">
        <v>110704</v>
      </c>
      <c r="W53" s="76">
        <v>0</v>
      </c>
      <c r="X53" s="76">
        <v>0</v>
      </c>
      <c r="Y53" s="76">
        <f t="shared" si="2"/>
        <v>239870.68</v>
      </c>
      <c r="Z53" s="77">
        <f t="shared" si="17"/>
        <v>129166.68</v>
      </c>
      <c r="AA53" s="77"/>
      <c r="AB53" s="125"/>
      <c r="AC53" s="77">
        <f>SUM(T53:V53)</f>
        <v>239870.68</v>
      </c>
      <c r="AD53" s="73">
        <f t="shared" si="77"/>
        <v>6.6922601344753502E-2</v>
      </c>
      <c r="AE53" s="125">
        <v>0</v>
      </c>
      <c r="AF53" s="166">
        <f t="shared" si="41"/>
        <v>0</v>
      </c>
      <c r="AG53" s="167">
        <f t="shared" si="78"/>
        <v>0</v>
      </c>
      <c r="AH53" s="145" t="s">
        <v>348</v>
      </c>
      <c r="AI53" s="147"/>
      <c r="AJ53" s="238" t="s">
        <v>409</v>
      </c>
      <c r="AK53" s="348">
        <v>0</v>
      </c>
      <c r="AL53" s="348">
        <v>0</v>
      </c>
      <c r="AM53" s="125">
        <v>0</v>
      </c>
      <c r="AN53" s="82"/>
      <c r="AO53" s="348">
        <v>0</v>
      </c>
      <c r="AP53" s="120"/>
      <c r="AQ53" s="120"/>
      <c r="AR53" s="125">
        <f t="shared" si="35"/>
        <v>0</v>
      </c>
      <c r="AS53" s="120"/>
      <c r="AT53" s="120"/>
      <c r="AU53" s="382"/>
      <c r="AV53" s="256"/>
      <c r="AW53" s="42"/>
      <c r="AX53" s="42"/>
      <c r="AY53" s="42"/>
    </row>
    <row r="54" spans="1:51" ht="117.6" customHeight="1">
      <c r="A54" s="375" t="s">
        <v>246</v>
      </c>
      <c r="B54" s="69" t="s">
        <v>479</v>
      </c>
      <c r="C54" s="70" t="s">
        <v>0</v>
      </c>
      <c r="D54" s="70" t="s">
        <v>5</v>
      </c>
      <c r="E54" s="70"/>
      <c r="F54" s="348">
        <v>6008974</v>
      </c>
      <c r="G54" s="348"/>
      <c r="H54" s="348">
        <v>6008974</v>
      </c>
      <c r="I54" s="348"/>
      <c r="J54" s="348">
        <v>6008974</v>
      </c>
      <c r="K54" s="348">
        <v>6008974</v>
      </c>
      <c r="L54" s="348">
        <v>33269811.77</v>
      </c>
      <c r="M54" s="125">
        <f t="shared" si="81"/>
        <v>5.5366875892623266</v>
      </c>
      <c r="N54" s="348">
        <v>27167137.399999999</v>
      </c>
      <c r="O54" s="127">
        <f t="shared" si="5"/>
        <v>4.5210941834662624</v>
      </c>
      <c r="P54" s="76">
        <v>5920224.3700000001</v>
      </c>
      <c r="Q54" s="73">
        <f t="shared" si="75"/>
        <v>0.98523048527086321</v>
      </c>
      <c r="R54" s="76">
        <v>5920224.3700000001</v>
      </c>
      <c r="S54" s="73">
        <f t="shared" si="76"/>
        <v>0.98523048527086321</v>
      </c>
      <c r="T54" s="76">
        <v>2197386.58</v>
      </c>
      <c r="U54" s="109">
        <v>0</v>
      </c>
      <c r="V54" s="76">
        <v>1348571.26</v>
      </c>
      <c r="W54" s="76">
        <v>225435.14</v>
      </c>
      <c r="X54" s="76">
        <v>0</v>
      </c>
      <c r="Y54" s="76">
        <f t="shared" si="2"/>
        <v>3545957.84</v>
      </c>
      <c r="Z54" s="77">
        <f t="shared" si="17"/>
        <v>2422821.7200000002</v>
      </c>
      <c r="AA54" s="77">
        <v>182450</v>
      </c>
      <c r="AB54" s="131">
        <f>AA54/J54</f>
        <v>3.0362920525201141E-2</v>
      </c>
      <c r="AC54" s="77">
        <f t="shared" ref="AC54" si="82">SUM(T54:V54)</f>
        <v>3545957.84</v>
      </c>
      <c r="AD54" s="73">
        <f t="shared" si="77"/>
        <v>0.59011036493085178</v>
      </c>
      <c r="AE54" s="125">
        <v>2.8325510769540607E-3</v>
      </c>
      <c r="AF54" s="166">
        <f t="shared" si="41"/>
        <v>88749.629999999888</v>
      </c>
      <c r="AG54" s="167">
        <f t="shared" si="78"/>
        <v>1.4769514729136769E-2</v>
      </c>
      <c r="AH54" s="145" t="s">
        <v>349</v>
      </c>
      <c r="AI54" s="147"/>
      <c r="AJ54" s="238" t="s">
        <v>409</v>
      </c>
      <c r="AK54" s="348">
        <v>0</v>
      </c>
      <c r="AL54" s="348">
        <v>0</v>
      </c>
      <c r="AM54" s="125">
        <v>0</v>
      </c>
      <c r="AN54" s="82"/>
      <c r="AO54" s="348">
        <v>0</v>
      </c>
      <c r="AP54" s="120"/>
      <c r="AQ54" s="120"/>
      <c r="AR54" s="125">
        <f t="shared" si="35"/>
        <v>0</v>
      </c>
      <c r="AS54" s="120"/>
      <c r="AT54" s="120"/>
      <c r="AU54" s="382"/>
      <c r="AV54" s="256"/>
      <c r="AW54" s="42"/>
      <c r="AX54" s="42"/>
      <c r="AY54" s="42"/>
    </row>
    <row r="55" spans="1:51" s="50" customFormat="1" ht="49.5">
      <c r="A55" s="373" t="s">
        <v>237</v>
      </c>
      <c r="B55" s="64" t="s">
        <v>480</v>
      </c>
      <c r="C55" s="65" t="s">
        <v>0</v>
      </c>
      <c r="D55" s="65"/>
      <c r="E55" s="65"/>
      <c r="F55" s="347">
        <f>F56+F73</f>
        <v>175190083.02773601</v>
      </c>
      <c r="G55" s="347"/>
      <c r="H55" s="347">
        <f>H56+H73</f>
        <v>175190083.02773601</v>
      </c>
      <c r="I55" s="347"/>
      <c r="J55" s="347">
        <f>J56+J73</f>
        <v>175190083.02773598</v>
      </c>
      <c r="K55" s="347">
        <f>K56+K73</f>
        <v>198980162.34237599</v>
      </c>
      <c r="L55" s="347">
        <f t="shared" ref="L55:N55" si="83">L56+L73</f>
        <v>180800412.47</v>
      </c>
      <c r="M55" s="124">
        <f>L55/J55</f>
        <v>1.0320242410146914</v>
      </c>
      <c r="N55" s="347">
        <f t="shared" si="83"/>
        <v>12793875.82</v>
      </c>
      <c r="O55" s="121">
        <f t="shared" si="5"/>
        <v>7.3028539052490099E-2</v>
      </c>
      <c r="P55" s="66">
        <f>P56+P73</f>
        <v>167245271.07000002</v>
      </c>
      <c r="Q55" s="67">
        <f t="shared" si="75"/>
        <v>0.95465033282461464</v>
      </c>
      <c r="R55" s="66">
        <f>R56+R73</f>
        <v>167245271.07000002</v>
      </c>
      <c r="S55" s="67">
        <f t="shared" si="76"/>
        <v>0.95465033282461464</v>
      </c>
      <c r="T55" s="66">
        <f t="shared" ref="T55:X55" si="84">T56+T73</f>
        <v>117730810.59999998</v>
      </c>
      <c r="U55" s="66">
        <f t="shared" si="84"/>
        <v>0</v>
      </c>
      <c r="V55" s="66">
        <f t="shared" si="84"/>
        <v>1181457.33</v>
      </c>
      <c r="W55" s="66">
        <f t="shared" si="84"/>
        <v>191541.97</v>
      </c>
      <c r="X55" s="66">
        <f t="shared" si="84"/>
        <v>16797.93</v>
      </c>
      <c r="Y55" s="78">
        <f t="shared" si="2"/>
        <v>118895469.99999999</v>
      </c>
      <c r="Z55" s="66">
        <f t="shared" si="17"/>
        <v>117922352.56999998</v>
      </c>
      <c r="AA55" s="66">
        <f>AA56+AA73</f>
        <v>765370.42</v>
      </c>
      <c r="AB55" s="128">
        <f>AA55/J55</f>
        <v>4.3687999159109196E-3</v>
      </c>
      <c r="AC55" s="66">
        <f>AC56+AC73</f>
        <v>118912267.92999999</v>
      </c>
      <c r="AD55" s="67">
        <f t="shared" si="77"/>
        <v>0.67876141089090003</v>
      </c>
      <c r="AE55" s="133">
        <v>1.0569253269885946E-3</v>
      </c>
      <c r="AF55" s="56">
        <f t="shared" si="41"/>
        <v>7944811.9577359557</v>
      </c>
      <c r="AG55" s="57">
        <f t="shared" si="78"/>
        <v>4.5349667175385369E-2</v>
      </c>
      <c r="AH55" s="119"/>
      <c r="AI55" s="217"/>
      <c r="AJ55" s="237" t="s">
        <v>408</v>
      </c>
      <c r="AK55" s="66">
        <f>AK56+AK73</f>
        <v>18155599.389317647</v>
      </c>
      <c r="AL55" s="66">
        <f>AL56+AL73</f>
        <v>21456437.81377</v>
      </c>
      <c r="AM55" s="232">
        <f>AL55/K55</f>
        <v>0.10783204496964324</v>
      </c>
      <c r="AN55" s="192"/>
      <c r="AO55" s="66">
        <f>AO56+AO73</f>
        <v>21912297.81377</v>
      </c>
      <c r="AP55" s="66">
        <f>AP56+AP73</f>
        <v>25456437.81377</v>
      </c>
      <c r="AQ55" s="66">
        <f>AQ56+AQ73</f>
        <v>22956437.81377</v>
      </c>
      <c r="AR55" s="232">
        <f t="shared" si="35"/>
        <v>0.11537048489421732</v>
      </c>
      <c r="AS55" s="119"/>
      <c r="AT55" s="119"/>
      <c r="AU55" s="374"/>
      <c r="AV55" s="25"/>
      <c r="AW55" s="244"/>
      <c r="AX55" s="244"/>
      <c r="AY55" s="244"/>
    </row>
    <row r="56" spans="1:51" s="50" customFormat="1">
      <c r="A56" s="373" t="s">
        <v>30</v>
      </c>
      <c r="B56" s="64" t="s">
        <v>481</v>
      </c>
      <c r="C56" s="65" t="s">
        <v>0</v>
      </c>
      <c r="D56" s="65"/>
      <c r="E56" s="65"/>
      <c r="F56" s="347">
        <f>F57+F63+F64+F67+F68+F69+F70+F71+F72</f>
        <v>166469737.02773601</v>
      </c>
      <c r="G56" s="347"/>
      <c r="H56" s="347">
        <f>H57+H63+H64+H67+H68+H69+H70+H71+H72</f>
        <v>166469737.02773601</v>
      </c>
      <c r="I56" s="347"/>
      <c r="J56" s="347">
        <f>J57+J63+J64+J67+J68+J69+J70+J71+J72</f>
        <v>166469737.02773598</v>
      </c>
      <c r="K56" s="347">
        <f>K57+K63+K64+K67+K68+K69+K70+K71+K72</f>
        <v>188881906.34237599</v>
      </c>
      <c r="L56" s="347">
        <f t="shared" ref="L56:N56" si="85">L57+L63+L64+L67+L68+L69+L70+L71+L72</f>
        <v>172080067.47</v>
      </c>
      <c r="M56" s="124">
        <f>L56/J56</f>
        <v>1.0337018039580927</v>
      </c>
      <c r="N56" s="347">
        <f t="shared" si="85"/>
        <v>12793875.82</v>
      </c>
      <c r="O56" s="121">
        <f t="shared" si="5"/>
        <v>7.685406397841775E-2</v>
      </c>
      <c r="P56" s="66">
        <f>P57+P63+P64+P67+P68+P69+P70+P71+P72</f>
        <v>158524926.07000002</v>
      </c>
      <c r="Q56" s="67">
        <f t="shared" si="75"/>
        <v>0.95227474314798577</v>
      </c>
      <c r="R56" s="66">
        <f>R57+R63+R64+R67+R68+R69+R70+R71+R72</f>
        <v>158524926.07000002</v>
      </c>
      <c r="S56" s="67">
        <f t="shared" si="76"/>
        <v>0.95227474314798577</v>
      </c>
      <c r="T56" s="66">
        <f>T57+T63+T64+T67+T68+T69+T70+T71+T72</f>
        <v>112112300.40999998</v>
      </c>
      <c r="U56" s="66">
        <f t="shared" ref="U56:X56" si="86">U57+U63+U64+U67+U68+U69+U70+U71+U72</f>
        <v>0</v>
      </c>
      <c r="V56" s="66">
        <f t="shared" si="86"/>
        <v>1181457.33</v>
      </c>
      <c r="W56" s="66">
        <f t="shared" si="86"/>
        <v>191541.97</v>
      </c>
      <c r="X56" s="66">
        <f t="shared" si="86"/>
        <v>16797.93</v>
      </c>
      <c r="Y56" s="66">
        <f t="shared" si="2"/>
        <v>113276959.80999999</v>
      </c>
      <c r="Z56" s="66">
        <f t="shared" si="17"/>
        <v>112303842.37999998</v>
      </c>
      <c r="AA56" s="66">
        <f>AA57+AA63+AA64+AA67+AA68+AA69+AA70+AA71+AA72</f>
        <v>765370.42</v>
      </c>
      <c r="AB56" s="128">
        <f>AA56/J56</f>
        <v>4.5976550072430256E-3</v>
      </c>
      <c r="AC56" s="66">
        <f>AC57+AC63+AC64+AC67+AC68+AC69+AC70+AC71+AC72</f>
        <v>113293757.73999999</v>
      </c>
      <c r="AD56" s="67">
        <f t="shared" si="77"/>
        <v>0.68056668895394368</v>
      </c>
      <c r="AE56" s="133">
        <v>1.0569253269885946E-3</v>
      </c>
      <c r="AF56" s="56">
        <f t="shared" si="41"/>
        <v>7944810.9577359557</v>
      </c>
      <c r="AG56" s="57">
        <f t="shared" si="78"/>
        <v>4.7725256852014182E-2</v>
      </c>
      <c r="AH56" s="119"/>
      <c r="AI56" s="217"/>
      <c r="AJ56" s="237" t="s">
        <v>408</v>
      </c>
      <c r="AK56" s="347">
        <f>AK57+AK63+AK64+AK67+AK68+AK69+AK70+AK71+AK72</f>
        <v>18155599.389317647</v>
      </c>
      <c r="AL56" s="347">
        <f>AL57+AL63+AL64+AL67+AL68+AL69+AL70+AL71+AL72</f>
        <v>21456437.81377</v>
      </c>
      <c r="AM56" s="232">
        <f>AL56/K56</f>
        <v>0.11359710535151567</v>
      </c>
      <c r="AN56" s="192"/>
      <c r="AO56" s="66">
        <f>AO57+AO63+AO64+AO67+AO68+AO69+AO70+AO71+AO72+AO59</f>
        <v>21912297.81377</v>
      </c>
      <c r="AP56" s="347">
        <f>AP57+AP63+AP64+AP67+AP68+AP69+AP70+AP71+AP72</f>
        <v>23956437.81377</v>
      </c>
      <c r="AQ56" s="347">
        <f>AQ57+AQ63+AQ64+AQ67+AQ68+AQ69+AQ70+AQ71+AQ72</f>
        <v>21456437.81377</v>
      </c>
      <c r="AR56" s="232">
        <f t="shared" si="35"/>
        <v>0.11359710535151567</v>
      </c>
      <c r="AS56" s="119"/>
      <c r="AT56" s="119"/>
      <c r="AU56" s="374"/>
      <c r="AV56" s="25"/>
      <c r="AW56" s="244"/>
      <c r="AX56" s="244"/>
      <c r="AY56" s="244"/>
    </row>
    <row r="57" spans="1:51" s="50" customFormat="1" ht="115.5">
      <c r="A57" s="381" t="s">
        <v>31</v>
      </c>
      <c r="B57" s="74" t="s">
        <v>482</v>
      </c>
      <c r="C57" s="75" t="s">
        <v>0</v>
      </c>
      <c r="D57" s="75"/>
      <c r="E57" s="75"/>
      <c r="F57" s="348">
        <f>SUM(F58:F62)</f>
        <v>96387054.270828009</v>
      </c>
      <c r="G57" s="348"/>
      <c r="H57" s="348">
        <f>SUM(H58:H62)</f>
        <v>96387054.270828009</v>
      </c>
      <c r="I57" s="348"/>
      <c r="J57" s="348">
        <f>SUM(J58:J62)</f>
        <v>96387054.270827979</v>
      </c>
      <c r="K57" s="348">
        <f>SUM(K58:K62)</f>
        <v>103238139.80970798</v>
      </c>
      <c r="L57" s="348">
        <f t="shared" ref="L57:N57" si="87">SUM(L58:L62)</f>
        <v>96511723.819999993</v>
      </c>
      <c r="M57" s="125">
        <f>L57/J57</f>
        <v>1.0012934262813107</v>
      </c>
      <c r="N57" s="348">
        <f t="shared" si="87"/>
        <v>12663809.35</v>
      </c>
      <c r="O57" s="127">
        <f t="shared" si="5"/>
        <v>0.13138496083112236</v>
      </c>
      <c r="P57" s="81">
        <f>SUM(P58:P61)</f>
        <v>83145764.359999999</v>
      </c>
      <c r="Q57" s="73">
        <f t="shared" si="75"/>
        <v>0.86262377234163989</v>
      </c>
      <c r="R57" s="81">
        <f>SUM(R58:R61)</f>
        <v>83145764.359999999</v>
      </c>
      <c r="S57" s="73">
        <f t="shared" si="76"/>
        <v>0.86262377234163989</v>
      </c>
      <c r="T57" s="78">
        <f t="shared" ref="T57:X57" si="88">SUM(T58:T61)</f>
        <v>54390234.579999998</v>
      </c>
      <c r="U57" s="78">
        <f t="shared" si="88"/>
        <v>0</v>
      </c>
      <c r="V57" s="78">
        <f t="shared" si="88"/>
        <v>0</v>
      </c>
      <c r="W57" s="78">
        <f t="shared" si="88"/>
        <v>0</v>
      </c>
      <c r="X57" s="78">
        <f t="shared" si="88"/>
        <v>36.119999999999997</v>
      </c>
      <c r="Y57" s="78">
        <f t="shared" si="2"/>
        <v>54390198.460000001</v>
      </c>
      <c r="Z57" s="81">
        <f>SUM(Z58:Z61)</f>
        <v>54390234.579999998</v>
      </c>
      <c r="AA57" s="81">
        <f>SUM(AA58:AA61)</f>
        <v>706254.95000000007</v>
      </c>
      <c r="AB57" s="131">
        <f>AA57/J57</f>
        <v>7.3272801554404559E-3</v>
      </c>
      <c r="AC57" s="78">
        <f>SUM(AC58:AC61)</f>
        <v>54390234.579999998</v>
      </c>
      <c r="AD57" s="73">
        <f t="shared" si="77"/>
        <v>0.56428983115486153</v>
      </c>
      <c r="AE57" s="136"/>
      <c r="AF57" s="166">
        <f t="shared" si="41"/>
        <v>13241289.910827979</v>
      </c>
      <c r="AG57" s="167">
        <f t="shared" si="78"/>
        <v>0.13737622765836016</v>
      </c>
      <c r="AH57" s="120"/>
      <c r="AI57" s="82"/>
      <c r="AJ57" s="238" t="s">
        <v>408</v>
      </c>
      <c r="AK57" s="348">
        <f>SUM(AK58:AK62)</f>
        <v>6979681.8137699999</v>
      </c>
      <c r="AL57" s="348">
        <f>SUM(AL58:AL62)</f>
        <v>7571088.8137699999</v>
      </c>
      <c r="AM57" s="125">
        <f>AL57/K57</f>
        <v>7.3336160722435387E-2</v>
      </c>
      <c r="AN57" s="82"/>
      <c r="AO57" s="348">
        <v>0</v>
      </c>
      <c r="AP57" s="348">
        <f>SUM(AP58:AP62)</f>
        <v>10071088.81377</v>
      </c>
      <c r="AQ57" s="348">
        <f>SUM(AQ58:AQ62)</f>
        <v>7571088.8137699999</v>
      </c>
      <c r="AR57" s="125">
        <f t="shared" si="35"/>
        <v>7.3336160722435387E-2</v>
      </c>
      <c r="AS57" s="120"/>
      <c r="AT57" s="120"/>
      <c r="AU57" s="382"/>
      <c r="AV57" s="256"/>
      <c r="AW57" s="244"/>
      <c r="AX57" s="244"/>
      <c r="AY57" s="244"/>
    </row>
    <row r="58" spans="1:51" ht="182.25" customHeight="1">
      <c r="A58" s="375" t="s">
        <v>220</v>
      </c>
      <c r="B58" s="69" t="s">
        <v>483</v>
      </c>
      <c r="C58" s="70" t="s">
        <v>0</v>
      </c>
      <c r="D58" s="70" t="s">
        <v>155</v>
      </c>
      <c r="E58" s="70"/>
      <c r="F58" s="348">
        <v>18120843.920952</v>
      </c>
      <c r="G58" s="348"/>
      <c r="H58" s="348">
        <v>18120843.920952</v>
      </c>
      <c r="I58" s="348"/>
      <c r="J58" s="348">
        <v>18120843.920952</v>
      </c>
      <c r="K58" s="348">
        <v>18120843.920952</v>
      </c>
      <c r="L58" s="348">
        <v>19973926.120000001</v>
      </c>
      <c r="M58" s="125">
        <f t="shared" ref="M58:M70" si="89">L58/J58</f>
        <v>1.1022624667555023</v>
      </c>
      <c r="N58" s="348">
        <v>2930087.94</v>
      </c>
      <c r="O58" s="127">
        <f t="shared" si="5"/>
        <v>0.16169710156888015</v>
      </c>
      <c r="P58" s="348">
        <v>16999468.52</v>
      </c>
      <c r="Q58" s="73">
        <f t="shared" si="75"/>
        <v>0.93811682249216755</v>
      </c>
      <c r="R58" s="76">
        <v>16999468.52</v>
      </c>
      <c r="S58" s="73">
        <f t="shared" si="76"/>
        <v>0.93811682249216755</v>
      </c>
      <c r="T58" s="348">
        <v>3253650.8000000003</v>
      </c>
      <c r="U58" s="109">
        <v>0</v>
      </c>
      <c r="V58" s="76">
        <v>0</v>
      </c>
      <c r="W58" s="76">
        <v>0</v>
      </c>
      <c r="X58" s="76">
        <v>0</v>
      </c>
      <c r="Y58" s="76">
        <f t="shared" si="2"/>
        <v>3253650.8000000003</v>
      </c>
      <c r="Z58" s="77">
        <f t="shared" si="17"/>
        <v>3253650.8000000003</v>
      </c>
      <c r="AA58" s="77">
        <v>44369.66</v>
      </c>
      <c r="AB58" s="131">
        <f>AA58/J58</f>
        <v>2.4485426944546515E-3</v>
      </c>
      <c r="AC58" s="77">
        <f t="shared" ref="AC58:AC63" si="90">SUM(T58:V58)</f>
        <v>3253650.8000000003</v>
      </c>
      <c r="AD58" s="73">
        <f t="shared" si="77"/>
        <v>0.17955293992891838</v>
      </c>
      <c r="AE58" s="125">
        <v>1.1842962128735196E-3</v>
      </c>
      <c r="AF58" s="166">
        <f t="shared" si="41"/>
        <v>1121375.4009520002</v>
      </c>
      <c r="AG58" s="167">
        <f t="shared" si="78"/>
        <v>6.1883177507832503E-2</v>
      </c>
      <c r="AH58" s="138" t="s">
        <v>316</v>
      </c>
      <c r="AI58" s="139"/>
      <c r="AJ58" s="238" t="s">
        <v>409</v>
      </c>
      <c r="AK58" s="348">
        <v>0</v>
      </c>
      <c r="AL58" s="348">
        <v>0</v>
      </c>
      <c r="AM58" s="125">
        <v>0</v>
      </c>
      <c r="AN58" s="82"/>
      <c r="AO58" s="348">
        <v>0</v>
      </c>
      <c r="AP58" s="348">
        <v>2500000</v>
      </c>
      <c r="AQ58" s="348">
        <v>0</v>
      </c>
      <c r="AR58" s="125">
        <f t="shared" si="35"/>
        <v>0</v>
      </c>
      <c r="AS58" s="348" t="s">
        <v>432</v>
      </c>
      <c r="AT58" s="165" t="s">
        <v>720</v>
      </c>
      <c r="AU58" s="382"/>
      <c r="AV58" s="256"/>
      <c r="AW58" s="42"/>
      <c r="AX58" s="42"/>
      <c r="AY58" s="42"/>
    </row>
    <row r="59" spans="1:51" ht="66.75" customHeight="1">
      <c r="A59" s="377" t="s">
        <v>238</v>
      </c>
      <c r="B59" s="345" t="s">
        <v>484</v>
      </c>
      <c r="C59" s="178" t="s">
        <v>0</v>
      </c>
      <c r="D59" s="178" t="s">
        <v>156</v>
      </c>
      <c r="E59" s="178"/>
      <c r="F59" s="349">
        <v>69796818.137700006</v>
      </c>
      <c r="G59" s="349"/>
      <c r="H59" s="349">
        <v>69796818.137700006</v>
      </c>
      <c r="I59" s="349"/>
      <c r="J59" s="349">
        <v>69796818.137699991</v>
      </c>
      <c r="K59" s="349">
        <v>75710888.137699991</v>
      </c>
      <c r="L59" s="349">
        <v>60724366.490000002</v>
      </c>
      <c r="M59" s="179">
        <f t="shared" si="89"/>
        <v>0.87001625733423504</v>
      </c>
      <c r="N59" s="349"/>
      <c r="O59" s="180">
        <f t="shared" si="5"/>
        <v>0</v>
      </c>
      <c r="P59" s="349">
        <v>60728471.329999998</v>
      </c>
      <c r="Q59" s="181">
        <f t="shared" si="75"/>
        <v>0.87007506861116035</v>
      </c>
      <c r="R59" s="349">
        <v>60728471.329999998</v>
      </c>
      <c r="S59" s="181">
        <f t="shared" si="76"/>
        <v>0.87007506861116035</v>
      </c>
      <c r="T59" s="349">
        <v>46073568.659999996</v>
      </c>
      <c r="U59" s="183">
        <v>0</v>
      </c>
      <c r="V59" s="183">
        <v>0</v>
      </c>
      <c r="W59" s="183">
        <v>0</v>
      </c>
      <c r="X59" s="183">
        <v>36.119999999999997</v>
      </c>
      <c r="Y59" s="182">
        <f t="shared" si="2"/>
        <v>46073532.539999999</v>
      </c>
      <c r="Z59" s="184">
        <f t="shared" si="17"/>
        <v>46073568.659999996</v>
      </c>
      <c r="AA59" s="184"/>
      <c r="AB59" s="179"/>
      <c r="AC59" s="184">
        <f t="shared" si="90"/>
        <v>46073568.659999996</v>
      </c>
      <c r="AD59" s="181">
        <f t="shared" si="77"/>
        <v>0.66010987161481882</v>
      </c>
      <c r="AE59" s="179">
        <v>4.0492169108733388E-4</v>
      </c>
      <c r="AF59" s="185">
        <f t="shared" si="41"/>
        <v>9068346.8076999933</v>
      </c>
      <c r="AG59" s="186">
        <f t="shared" si="78"/>
        <v>0.1299249313888397</v>
      </c>
      <c r="AH59" s="191"/>
      <c r="AI59" s="220"/>
      <c r="AJ59" s="239" t="s">
        <v>408</v>
      </c>
      <c r="AK59" s="349">
        <f>J59*10%</f>
        <v>6979681.8137699999</v>
      </c>
      <c r="AL59" s="349">
        <v>7571088.8137699999</v>
      </c>
      <c r="AM59" s="207">
        <f>AL59/K59</f>
        <v>0.1</v>
      </c>
      <c r="AN59" s="349" t="s">
        <v>433</v>
      </c>
      <c r="AO59" s="349">
        <v>7571088.8137699999</v>
      </c>
      <c r="AP59" s="318">
        <f>AL59</f>
        <v>7571088.8137699999</v>
      </c>
      <c r="AQ59" s="318">
        <f>AL59</f>
        <v>7571088.8137699999</v>
      </c>
      <c r="AR59" s="207">
        <f t="shared" si="35"/>
        <v>0.1</v>
      </c>
      <c r="AS59" s="317" t="s">
        <v>433</v>
      </c>
      <c r="AT59" s="317" t="s">
        <v>689</v>
      </c>
      <c r="AU59" s="378"/>
      <c r="AV59" s="253"/>
    </row>
    <row r="60" spans="1:51" ht="100.9" customHeight="1">
      <c r="A60" s="375" t="s">
        <v>251</v>
      </c>
      <c r="B60" s="69" t="s">
        <v>485</v>
      </c>
      <c r="C60" s="70" t="s">
        <v>0</v>
      </c>
      <c r="D60" s="70" t="s">
        <v>155</v>
      </c>
      <c r="E60" s="70"/>
      <c r="F60" s="348">
        <v>2398644.7510560001</v>
      </c>
      <c r="G60" s="348"/>
      <c r="H60" s="348">
        <v>2398644.7510560001</v>
      </c>
      <c r="I60" s="348"/>
      <c r="J60" s="348">
        <v>2398644.7510560001</v>
      </c>
      <c r="K60" s="348">
        <v>2398644.7510560001</v>
      </c>
      <c r="L60" s="348">
        <v>12742684.93</v>
      </c>
      <c r="M60" s="125">
        <f t="shared" si="89"/>
        <v>5.3124519270267303</v>
      </c>
      <c r="N60" s="348">
        <v>9733721.4100000001</v>
      </c>
      <c r="O60" s="127">
        <f t="shared" si="5"/>
        <v>4.0580087592023544</v>
      </c>
      <c r="P60" s="348">
        <v>2347078.23</v>
      </c>
      <c r="Q60" s="73">
        <f t="shared" si="75"/>
        <v>0.97850180981018631</v>
      </c>
      <c r="R60" s="76">
        <v>2347078.23</v>
      </c>
      <c r="S60" s="73">
        <f t="shared" si="76"/>
        <v>0.97850180981018631</v>
      </c>
      <c r="T60" s="348">
        <v>1992268.8399999999</v>
      </c>
      <c r="U60" s="109">
        <v>0</v>
      </c>
      <c r="V60" s="109">
        <v>0</v>
      </c>
      <c r="W60" s="109">
        <v>0</v>
      </c>
      <c r="X60" s="109">
        <v>0</v>
      </c>
      <c r="Y60" s="76">
        <f t="shared" si="2"/>
        <v>1992268.8399999999</v>
      </c>
      <c r="Z60" s="77">
        <f t="shared" si="17"/>
        <v>1992268.8399999999</v>
      </c>
      <c r="AA60" s="77">
        <v>661885.29</v>
      </c>
      <c r="AB60" s="131">
        <f>AA60/J60</f>
        <v>0.27594135801418945</v>
      </c>
      <c r="AC60" s="77">
        <f t="shared" si="90"/>
        <v>1992268.8399999999</v>
      </c>
      <c r="AD60" s="73">
        <f t="shared" si="77"/>
        <v>0.83058103502942904</v>
      </c>
      <c r="AE60" s="125">
        <v>3.0309565295813665E-2</v>
      </c>
      <c r="AF60" s="166">
        <f t="shared" si="41"/>
        <v>51566.521056000143</v>
      </c>
      <c r="AG60" s="167">
        <f t="shared" si="78"/>
        <v>2.1498190189813665E-2</v>
      </c>
      <c r="AH60" s="138" t="s">
        <v>316</v>
      </c>
      <c r="AI60" s="139"/>
      <c r="AJ60" s="238" t="s">
        <v>409</v>
      </c>
      <c r="AK60" s="348">
        <v>0</v>
      </c>
      <c r="AL60" s="348">
        <v>0</v>
      </c>
      <c r="AM60" s="125">
        <v>0</v>
      </c>
      <c r="AN60" s="82"/>
      <c r="AO60" s="348">
        <v>0</v>
      </c>
      <c r="AP60" s="120"/>
      <c r="AQ60" s="120"/>
      <c r="AR60" s="125">
        <f t="shared" si="35"/>
        <v>0</v>
      </c>
      <c r="AS60" s="120"/>
      <c r="AT60" s="120"/>
      <c r="AU60" s="382"/>
      <c r="AV60" s="256"/>
      <c r="AW60" s="42"/>
      <c r="AX60" s="42"/>
      <c r="AY60" s="42"/>
    </row>
    <row r="61" spans="1:51" ht="50.45" customHeight="1">
      <c r="A61" s="375" t="s">
        <v>215</v>
      </c>
      <c r="B61" s="69" t="s">
        <v>486</v>
      </c>
      <c r="C61" s="70" t="s">
        <v>0</v>
      </c>
      <c r="D61" s="70" t="s">
        <v>156</v>
      </c>
      <c r="E61" s="70"/>
      <c r="F61" s="348">
        <v>3070747.4611200001</v>
      </c>
      <c r="G61" s="348"/>
      <c r="H61" s="348">
        <v>3070747.4611200001</v>
      </c>
      <c r="I61" s="348"/>
      <c r="J61" s="348">
        <v>3070747.4611200001</v>
      </c>
      <c r="K61" s="348">
        <v>4007763</v>
      </c>
      <c r="L61" s="348">
        <v>3070746.28</v>
      </c>
      <c r="M61" s="125">
        <f>L61/J61</f>
        <v>0.99999961536400661</v>
      </c>
      <c r="N61" s="348"/>
      <c r="O61" s="127">
        <f t="shared" si="5"/>
        <v>0</v>
      </c>
      <c r="P61" s="348">
        <v>3070746.28</v>
      </c>
      <c r="Q61" s="73">
        <f t="shared" si="75"/>
        <v>0.99999961536400661</v>
      </c>
      <c r="R61" s="76">
        <v>3070746.28</v>
      </c>
      <c r="S61" s="73">
        <f t="shared" si="76"/>
        <v>0.99999961536400661</v>
      </c>
      <c r="T61" s="348">
        <v>3070746.28</v>
      </c>
      <c r="U61" s="109">
        <v>0</v>
      </c>
      <c r="V61" s="109">
        <v>0</v>
      </c>
      <c r="W61" s="109">
        <v>0</v>
      </c>
      <c r="X61" s="109">
        <v>0</v>
      </c>
      <c r="Y61" s="76">
        <f t="shared" si="2"/>
        <v>3070746.28</v>
      </c>
      <c r="Z61" s="77">
        <f t="shared" si="17"/>
        <v>3070746.28</v>
      </c>
      <c r="AA61" s="77"/>
      <c r="AB61" s="125"/>
      <c r="AC61" s="77">
        <f t="shared" si="90"/>
        <v>3070746.28</v>
      </c>
      <c r="AD61" s="73">
        <f t="shared" si="77"/>
        <v>0.99999961536400661</v>
      </c>
      <c r="AE61" s="125">
        <v>8.6876525916316561E-4</v>
      </c>
      <c r="AF61" s="166">
        <v>0</v>
      </c>
      <c r="AG61" s="167">
        <f t="shared" si="78"/>
        <v>0</v>
      </c>
      <c r="AH61" s="120"/>
      <c r="AI61" s="82"/>
      <c r="AJ61" s="238" t="s">
        <v>409</v>
      </c>
      <c r="AK61" s="348">
        <v>0</v>
      </c>
      <c r="AL61" s="348">
        <v>0</v>
      </c>
      <c r="AM61" s="125">
        <v>0</v>
      </c>
      <c r="AN61" s="82"/>
      <c r="AO61" s="348">
        <v>0</v>
      </c>
      <c r="AP61" s="120"/>
      <c r="AQ61" s="120"/>
      <c r="AR61" s="125">
        <f t="shared" si="35"/>
        <v>0</v>
      </c>
      <c r="AS61" s="120"/>
      <c r="AT61" s="120"/>
      <c r="AU61" s="382"/>
      <c r="AV61" s="256"/>
      <c r="AW61" s="42"/>
      <c r="AX61" s="42"/>
      <c r="AY61" s="42"/>
    </row>
    <row r="62" spans="1:51" s="89" customFormat="1" ht="33.6" customHeight="1">
      <c r="A62" s="386" t="s">
        <v>221</v>
      </c>
      <c r="B62" s="97" t="s">
        <v>487</v>
      </c>
      <c r="C62" s="98" t="s">
        <v>0</v>
      </c>
      <c r="D62" s="98" t="s">
        <v>155</v>
      </c>
      <c r="E62" s="88"/>
      <c r="F62" s="348">
        <v>3000000</v>
      </c>
      <c r="G62" s="348"/>
      <c r="H62" s="348">
        <v>3000000</v>
      </c>
      <c r="I62" s="82"/>
      <c r="J62" s="348">
        <v>3000000</v>
      </c>
      <c r="K62" s="348">
        <v>3000000</v>
      </c>
      <c r="L62" s="348"/>
      <c r="M62" s="125">
        <f t="shared" si="89"/>
        <v>0</v>
      </c>
      <c r="N62" s="348"/>
      <c r="O62" s="127">
        <f t="shared" si="5"/>
        <v>0</v>
      </c>
      <c r="P62" s="348">
        <v>0</v>
      </c>
      <c r="Q62" s="73">
        <f t="shared" si="75"/>
        <v>0</v>
      </c>
      <c r="R62" s="76">
        <v>0</v>
      </c>
      <c r="S62" s="73">
        <f t="shared" si="76"/>
        <v>0</v>
      </c>
      <c r="T62" s="348">
        <v>0</v>
      </c>
      <c r="U62" s="109">
        <v>0</v>
      </c>
      <c r="V62" s="109">
        <v>0</v>
      </c>
      <c r="W62" s="109">
        <v>0</v>
      </c>
      <c r="X62" s="109"/>
      <c r="Y62" s="76"/>
      <c r="Z62" s="77">
        <v>0</v>
      </c>
      <c r="AA62" s="77"/>
      <c r="AB62" s="125"/>
      <c r="AC62" s="77">
        <v>0</v>
      </c>
      <c r="AD62" s="73">
        <v>0</v>
      </c>
      <c r="AE62" s="125"/>
      <c r="AF62" s="166">
        <f>J62-R62</f>
        <v>3000000</v>
      </c>
      <c r="AG62" s="167">
        <f t="shared" si="78"/>
        <v>1</v>
      </c>
      <c r="AH62" s="138" t="s">
        <v>317</v>
      </c>
      <c r="AI62" s="139"/>
      <c r="AJ62" s="238" t="s">
        <v>409</v>
      </c>
      <c r="AK62" s="348">
        <v>0</v>
      </c>
      <c r="AL62" s="348">
        <v>0</v>
      </c>
      <c r="AM62" s="125">
        <v>0</v>
      </c>
      <c r="AN62" s="82"/>
      <c r="AO62" s="348">
        <v>0</v>
      </c>
      <c r="AP62" s="120"/>
      <c r="AQ62" s="120"/>
      <c r="AR62" s="125">
        <f t="shared" si="35"/>
        <v>0</v>
      </c>
      <c r="AS62" s="120"/>
      <c r="AT62" s="120"/>
      <c r="AU62" s="382"/>
      <c r="AV62" s="256"/>
    </row>
    <row r="63" spans="1:51" ht="78" customHeight="1">
      <c r="A63" s="375" t="s">
        <v>32</v>
      </c>
      <c r="B63" s="69" t="s">
        <v>488</v>
      </c>
      <c r="C63" s="70" t="s">
        <v>0</v>
      </c>
      <c r="D63" s="70" t="s">
        <v>155</v>
      </c>
      <c r="E63" s="70"/>
      <c r="F63" s="348">
        <v>12167953</v>
      </c>
      <c r="G63" s="348"/>
      <c r="H63" s="348">
        <v>12167953</v>
      </c>
      <c r="I63" s="348"/>
      <c r="J63" s="348">
        <v>12167953</v>
      </c>
      <c r="K63" s="348">
        <v>14315238</v>
      </c>
      <c r="L63" s="348">
        <v>12167953</v>
      </c>
      <c r="M63" s="125">
        <f t="shared" si="89"/>
        <v>1</v>
      </c>
      <c r="N63" s="348"/>
      <c r="O63" s="127">
        <f t="shared" si="5"/>
        <v>0</v>
      </c>
      <c r="P63" s="348">
        <v>12167953</v>
      </c>
      <c r="Q63" s="73">
        <f t="shared" si="75"/>
        <v>1</v>
      </c>
      <c r="R63" s="76">
        <v>12167953</v>
      </c>
      <c r="S63" s="73">
        <f t="shared" si="76"/>
        <v>1</v>
      </c>
      <c r="T63" s="348">
        <v>12167953</v>
      </c>
      <c r="U63" s="109">
        <v>0</v>
      </c>
      <c r="V63" s="109">
        <v>0</v>
      </c>
      <c r="W63" s="109">
        <v>0</v>
      </c>
      <c r="X63" s="109">
        <v>0</v>
      </c>
      <c r="Y63" s="76">
        <f t="shared" si="2"/>
        <v>12167953</v>
      </c>
      <c r="Z63" s="77">
        <f t="shared" si="17"/>
        <v>12167953</v>
      </c>
      <c r="AA63" s="77"/>
      <c r="AB63" s="125"/>
      <c r="AC63" s="77">
        <f t="shared" si="90"/>
        <v>12167953</v>
      </c>
      <c r="AD63" s="73">
        <f t="shared" ref="AD63:AD68" si="91">AC63/J63</f>
        <v>1</v>
      </c>
      <c r="AE63" s="125">
        <v>0</v>
      </c>
      <c r="AF63" s="166">
        <f>J63-R63</f>
        <v>0</v>
      </c>
      <c r="AG63" s="167">
        <f t="shared" si="78"/>
        <v>0</v>
      </c>
      <c r="AH63" s="139" t="s">
        <v>318</v>
      </c>
      <c r="AI63" s="139"/>
      <c r="AJ63" s="238" t="s">
        <v>409</v>
      </c>
      <c r="AK63" s="348">
        <v>0</v>
      </c>
      <c r="AL63" s="348">
        <v>0</v>
      </c>
      <c r="AM63" s="125">
        <v>0</v>
      </c>
      <c r="AN63" s="82"/>
      <c r="AO63" s="348">
        <v>0</v>
      </c>
      <c r="AP63" s="120"/>
      <c r="AQ63" s="120"/>
      <c r="AR63" s="125">
        <f t="shared" si="35"/>
        <v>0</v>
      </c>
      <c r="AS63" s="120"/>
      <c r="AT63" s="120"/>
      <c r="AU63" s="382"/>
      <c r="AV63" s="256"/>
      <c r="AW63" s="42"/>
      <c r="AX63" s="42"/>
      <c r="AY63" s="42"/>
    </row>
    <row r="64" spans="1:51" s="50" customFormat="1" ht="84" customHeight="1">
      <c r="A64" s="381" t="s">
        <v>33</v>
      </c>
      <c r="B64" s="74" t="s">
        <v>489</v>
      </c>
      <c r="C64" s="75" t="s">
        <v>0</v>
      </c>
      <c r="D64" s="75" t="s">
        <v>156</v>
      </c>
      <c r="E64" s="75"/>
      <c r="F64" s="348">
        <f>SUM(F65:F66)</f>
        <v>6290088.3168839999</v>
      </c>
      <c r="G64" s="348"/>
      <c r="H64" s="348">
        <f>SUM(H65:H66)</f>
        <v>6290088.3168839999</v>
      </c>
      <c r="I64" s="348"/>
      <c r="J64" s="348">
        <f>SUM(J65:J66)</f>
        <v>6290088.3168839999</v>
      </c>
      <c r="K64" s="348">
        <f>SUM(K65:K66)</f>
        <v>7400104.7529039998</v>
      </c>
      <c r="L64" s="348">
        <f t="shared" ref="L64:N64" si="92">SUM(L65:L66)</f>
        <v>6290086.5899999999</v>
      </c>
      <c r="M64" s="125">
        <f>L64/J64</f>
        <v>0.99999972545949867</v>
      </c>
      <c r="N64" s="348">
        <f t="shared" si="92"/>
        <v>0</v>
      </c>
      <c r="O64" s="127">
        <f t="shared" si="5"/>
        <v>0</v>
      </c>
      <c r="P64" s="81">
        <f>SUM(P65:P66)</f>
        <v>6290086.5899999999</v>
      </c>
      <c r="Q64" s="73">
        <f t="shared" si="75"/>
        <v>0.99999972545949867</v>
      </c>
      <c r="R64" s="78">
        <f>SUM(R65:R66)</f>
        <v>6290086.5899999999</v>
      </c>
      <c r="S64" s="73">
        <f t="shared" si="76"/>
        <v>0.99999972545949867</v>
      </c>
      <c r="T64" s="78">
        <f t="shared" ref="T64:X64" si="93">SUM(T65:T66)</f>
        <v>4505578.5600000005</v>
      </c>
      <c r="U64" s="78">
        <f t="shared" si="93"/>
        <v>0</v>
      </c>
      <c r="V64" s="78">
        <f t="shared" si="93"/>
        <v>1181457.33</v>
      </c>
      <c r="W64" s="78">
        <f t="shared" si="93"/>
        <v>191541.97</v>
      </c>
      <c r="X64" s="78">
        <f t="shared" si="93"/>
        <v>16761.810000000001</v>
      </c>
      <c r="Y64" s="78">
        <f t="shared" si="2"/>
        <v>5670274.080000001</v>
      </c>
      <c r="Z64" s="113">
        <f t="shared" si="17"/>
        <v>4697120.53</v>
      </c>
      <c r="AA64" s="78">
        <f>SUM(AA65:AA66)</f>
        <v>0</v>
      </c>
      <c r="AB64" s="131">
        <f>AA64/J64</f>
        <v>0</v>
      </c>
      <c r="AC64" s="78">
        <f>SUM(AC65:AC66)</f>
        <v>5687035.8900000006</v>
      </c>
      <c r="AD64" s="73">
        <f t="shared" si="91"/>
        <v>0.90412655649599194</v>
      </c>
      <c r="AE64" s="136"/>
      <c r="AF64" s="166">
        <f>J64-R64</f>
        <v>1.7268840000033379</v>
      </c>
      <c r="AG64" s="167">
        <f t="shared" si="78"/>
        <v>2.7454050134208705E-7</v>
      </c>
      <c r="AH64" s="120"/>
      <c r="AI64" s="82"/>
      <c r="AJ64" s="238" t="s">
        <v>409</v>
      </c>
      <c r="AK64" s="348">
        <v>0</v>
      </c>
      <c r="AL64" s="348">
        <v>0</v>
      </c>
      <c r="AM64" s="125">
        <v>0</v>
      </c>
      <c r="AN64" s="82"/>
      <c r="AO64" s="348">
        <v>0</v>
      </c>
      <c r="AP64" s="120"/>
      <c r="AQ64" s="120"/>
      <c r="AR64" s="125">
        <f t="shared" si="35"/>
        <v>0</v>
      </c>
      <c r="AS64" s="120"/>
      <c r="AT64" s="120"/>
      <c r="AU64" s="382"/>
      <c r="AV64" s="256"/>
    </row>
    <row r="65" spans="1:51" ht="67.150000000000006" customHeight="1">
      <c r="A65" s="375" t="s">
        <v>214</v>
      </c>
      <c r="B65" s="69" t="s">
        <v>490</v>
      </c>
      <c r="C65" s="70" t="s">
        <v>0</v>
      </c>
      <c r="D65" s="70" t="s">
        <v>156</v>
      </c>
      <c r="E65" s="70"/>
      <c r="F65" s="348">
        <v>519738.31688400003</v>
      </c>
      <c r="G65" s="348"/>
      <c r="H65" s="348">
        <v>519738.31688400003</v>
      </c>
      <c r="I65" s="348"/>
      <c r="J65" s="348">
        <v>519738.31688399997</v>
      </c>
      <c r="K65" s="348">
        <v>611457.75290399999</v>
      </c>
      <c r="L65" s="348">
        <v>519737.8</v>
      </c>
      <c r="M65" s="125">
        <f t="shared" si="89"/>
        <v>0.99999900549183462</v>
      </c>
      <c r="N65" s="348"/>
      <c r="O65" s="127">
        <f t="shared" si="5"/>
        <v>0</v>
      </c>
      <c r="P65" s="348">
        <v>519737.8</v>
      </c>
      <c r="Q65" s="73">
        <f t="shared" si="75"/>
        <v>0.99999900549183462</v>
      </c>
      <c r="R65" s="76">
        <v>519737.8</v>
      </c>
      <c r="S65" s="73">
        <f t="shared" si="76"/>
        <v>0.99999900549183462</v>
      </c>
      <c r="T65" s="76">
        <v>536499.61</v>
      </c>
      <c r="U65" s="76">
        <v>0</v>
      </c>
      <c r="V65" s="76">
        <v>0</v>
      </c>
      <c r="W65" s="76">
        <v>0</v>
      </c>
      <c r="X65" s="76">
        <v>16761.810000000001</v>
      </c>
      <c r="Y65" s="76">
        <f t="shared" si="2"/>
        <v>519737.8</v>
      </c>
      <c r="Z65" s="77">
        <f t="shared" si="17"/>
        <v>536499.61</v>
      </c>
      <c r="AA65" s="77"/>
      <c r="AB65" s="125"/>
      <c r="AC65" s="77">
        <f>SUM(T65:V65)</f>
        <v>536499.61</v>
      </c>
      <c r="AD65" s="73">
        <f t="shared" si="91"/>
        <v>1.0322494851187602</v>
      </c>
      <c r="AE65" s="125">
        <v>0</v>
      </c>
      <c r="AF65" s="166">
        <v>0</v>
      </c>
      <c r="AG65" s="167">
        <f t="shared" si="78"/>
        <v>0</v>
      </c>
      <c r="AH65" s="120"/>
      <c r="AI65" s="82"/>
      <c r="AJ65" s="238" t="s">
        <v>409</v>
      </c>
      <c r="AK65" s="348">
        <v>0</v>
      </c>
      <c r="AL65" s="348">
        <v>0</v>
      </c>
      <c r="AM65" s="125">
        <v>0</v>
      </c>
      <c r="AN65" s="82"/>
      <c r="AO65" s="348">
        <v>0</v>
      </c>
      <c r="AP65" s="120"/>
      <c r="AQ65" s="120"/>
      <c r="AR65" s="125">
        <f t="shared" si="35"/>
        <v>0</v>
      </c>
      <c r="AS65" s="120"/>
      <c r="AT65" s="120"/>
      <c r="AU65" s="382"/>
      <c r="AV65" s="256"/>
      <c r="AW65" s="42"/>
      <c r="AX65" s="42"/>
      <c r="AY65" s="42"/>
    </row>
    <row r="66" spans="1:51" ht="84" customHeight="1">
      <c r="A66" s="375" t="s">
        <v>196</v>
      </c>
      <c r="B66" s="69" t="s">
        <v>491</v>
      </c>
      <c r="C66" s="70" t="s">
        <v>0</v>
      </c>
      <c r="D66" s="70" t="s">
        <v>156</v>
      </c>
      <c r="E66" s="70"/>
      <c r="F66" s="348">
        <v>5770350</v>
      </c>
      <c r="G66" s="348"/>
      <c r="H66" s="348">
        <v>5770350</v>
      </c>
      <c r="I66" s="348"/>
      <c r="J66" s="348">
        <v>5770350</v>
      </c>
      <c r="K66" s="348">
        <v>6788647</v>
      </c>
      <c r="L66" s="348">
        <v>5770348.79</v>
      </c>
      <c r="M66" s="125">
        <f t="shared" si="89"/>
        <v>0.99999979030734709</v>
      </c>
      <c r="N66" s="348"/>
      <c r="O66" s="127">
        <f t="shared" si="5"/>
        <v>0</v>
      </c>
      <c r="P66" s="348">
        <v>5770348.79</v>
      </c>
      <c r="Q66" s="73">
        <f t="shared" si="75"/>
        <v>0.99999979030734709</v>
      </c>
      <c r="R66" s="76">
        <v>5770348.79</v>
      </c>
      <c r="S66" s="73">
        <f t="shared" si="76"/>
        <v>0.99999979030734709</v>
      </c>
      <c r="T66" s="76">
        <v>3969078.95</v>
      </c>
      <c r="U66" s="76">
        <v>0</v>
      </c>
      <c r="V66" s="76">
        <v>1181457.33</v>
      </c>
      <c r="W66" s="76">
        <v>191541.97</v>
      </c>
      <c r="X66" s="76">
        <v>0</v>
      </c>
      <c r="Y66" s="76">
        <f t="shared" si="2"/>
        <v>5150536.28</v>
      </c>
      <c r="Z66" s="77">
        <f t="shared" si="17"/>
        <v>4160620.9200000004</v>
      </c>
      <c r="AA66" s="77"/>
      <c r="AB66" s="125"/>
      <c r="AC66" s="77">
        <f t="shared" ref="AC66:AC72" si="94">SUM(T66:V66)</f>
        <v>5150536.28</v>
      </c>
      <c r="AD66" s="73">
        <f t="shared" si="91"/>
        <v>0.89258646009340858</v>
      </c>
      <c r="AE66" s="125">
        <v>0</v>
      </c>
      <c r="AF66" s="166">
        <v>0</v>
      </c>
      <c r="AG66" s="167">
        <f t="shared" si="78"/>
        <v>0</v>
      </c>
      <c r="AH66" s="120"/>
      <c r="AI66" s="82"/>
      <c r="AJ66" s="238" t="s">
        <v>409</v>
      </c>
      <c r="AK66" s="348">
        <v>0</v>
      </c>
      <c r="AL66" s="348">
        <v>0</v>
      </c>
      <c r="AM66" s="125">
        <v>0</v>
      </c>
      <c r="AN66" s="82"/>
      <c r="AO66" s="348">
        <v>0</v>
      </c>
      <c r="AP66" s="120"/>
      <c r="AQ66" s="120"/>
      <c r="AR66" s="125">
        <f t="shared" si="35"/>
        <v>0</v>
      </c>
      <c r="AS66" s="120"/>
      <c r="AT66" s="120"/>
      <c r="AU66" s="382"/>
      <c r="AV66" s="256"/>
      <c r="AW66" s="42"/>
      <c r="AX66" s="42"/>
      <c r="AY66" s="42"/>
    </row>
    <row r="67" spans="1:51" ht="50.45" customHeight="1">
      <c r="A67" s="375" t="s">
        <v>292</v>
      </c>
      <c r="B67" s="69" t="s">
        <v>492</v>
      </c>
      <c r="C67" s="70" t="s">
        <v>0</v>
      </c>
      <c r="D67" s="70" t="s">
        <v>156</v>
      </c>
      <c r="E67" s="70"/>
      <c r="F67" s="348">
        <v>1970593.5412079999</v>
      </c>
      <c r="G67" s="348"/>
      <c r="H67" s="348">
        <v>1970593.5412079999</v>
      </c>
      <c r="I67" s="348"/>
      <c r="J67" s="348">
        <v>1970593.5412079999</v>
      </c>
      <c r="K67" s="348">
        <v>2318345</v>
      </c>
      <c r="L67" s="348">
        <v>1966107.67</v>
      </c>
      <c r="M67" s="125">
        <f>L67/J67</f>
        <v>0.99772359387453891</v>
      </c>
      <c r="N67" s="348"/>
      <c r="O67" s="127">
        <f t="shared" si="5"/>
        <v>0</v>
      </c>
      <c r="P67" s="348">
        <v>1966107.67</v>
      </c>
      <c r="Q67" s="73">
        <f t="shared" si="75"/>
        <v>0.99772359387453891</v>
      </c>
      <c r="R67" s="76">
        <v>1966107.67</v>
      </c>
      <c r="S67" s="73">
        <f t="shared" si="76"/>
        <v>0.99772359387453891</v>
      </c>
      <c r="T67" s="76">
        <v>1192707.8500000001</v>
      </c>
      <c r="U67" s="76">
        <v>0</v>
      </c>
      <c r="V67" s="76">
        <v>0</v>
      </c>
      <c r="W67" s="76">
        <v>0</v>
      </c>
      <c r="X67" s="76">
        <v>0</v>
      </c>
      <c r="Y67" s="76">
        <f t="shared" si="2"/>
        <v>1192707.8500000001</v>
      </c>
      <c r="Z67" s="77">
        <f t="shared" si="17"/>
        <v>1192707.8500000001</v>
      </c>
      <c r="AA67" s="77"/>
      <c r="AB67" s="125"/>
      <c r="AC67" s="77">
        <f t="shared" si="94"/>
        <v>1192707.8500000001</v>
      </c>
      <c r="AD67" s="73">
        <f t="shared" si="91"/>
        <v>0.60525310017450595</v>
      </c>
      <c r="AE67" s="125">
        <v>4.2971770611470374E-4</v>
      </c>
      <c r="AF67" s="166">
        <f t="shared" ref="AF67:AF72" si="95">J67-R67</f>
        <v>4485.8712079999968</v>
      </c>
      <c r="AG67" s="167">
        <f t="shared" si="78"/>
        <v>2.2764061254611128E-3</v>
      </c>
      <c r="AH67" s="120"/>
      <c r="AI67" s="82"/>
      <c r="AJ67" s="238" t="s">
        <v>409</v>
      </c>
      <c r="AK67" s="348">
        <v>0</v>
      </c>
      <c r="AL67" s="348">
        <v>0</v>
      </c>
      <c r="AM67" s="125">
        <v>0</v>
      </c>
      <c r="AN67" s="82"/>
      <c r="AO67" s="348">
        <v>0</v>
      </c>
      <c r="AP67" s="120"/>
      <c r="AQ67" s="120"/>
      <c r="AR67" s="125">
        <f t="shared" si="35"/>
        <v>0</v>
      </c>
      <c r="AS67" s="120"/>
      <c r="AT67" s="120"/>
      <c r="AU67" s="382"/>
      <c r="AV67" s="256"/>
      <c r="AW67" s="42"/>
      <c r="AX67" s="42"/>
      <c r="AY67" s="42"/>
    </row>
    <row r="68" spans="1:51" ht="99" customHeight="1">
      <c r="A68" s="377" t="s">
        <v>268</v>
      </c>
      <c r="B68" s="345" t="s">
        <v>493</v>
      </c>
      <c r="C68" s="178" t="s">
        <v>0</v>
      </c>
      <c r="D68" s="178" t="s">
        <v>156</v>
      </c>
      <c r="E68" s="178"/>
      <c r="F68" s="349">
        <v>48697755.119052</v>
      </c>
      <c r="G68" s="349"/>
      <c r="H68" s="349">
        <v>48697755.119052</v>
      </c>
      <c r="I68" s="349"/>
      <c r="J68" s="349">
        <v>48697755.119052</v>
      </c>
      <c r="K68" s="349">
        <v>60503786</v>
      </c>
      <c r="L68" s="349">
        <v>54004062.270000003</v>
      </c>
      <c r="M68" s="179">
        <f t="shared" si="89"/>
        <v>1.1089641018970096</v>
      </c>
      <c r="N68" s="349"/>
      <c r="O68" s="180">
        <f t="shared" si="5"/>
        <v>0</v>
      </c>
      <c r="P68" s="182">
        <v>54004062.270000003</v>
      </c>
      <c r="Q68" s="181">
        <f t="shared" si="75"/>
        <v>1.1089641018970096</v>
      </c>
      <c r="R68" s="182">
        <v>54004062.270000003</v>
      </c>
      <c r="S68" s="181">
        <f t="shared" si="76"/>
        <v>1.1089641018970096</v>
      </c>
      <c r="T68" s="182">
        <v>39604071.740000002</v>
      </c>
      <c r="U68" s="182">
        <v>0</v>
      </c>
      <c r="V68" s="182">
        <v>0</v>
      </c>
      <c r="W68" s="182">
        <v>0</v>
      </c>
      <c r="X68" s="182">
        <v>0</v>
      </c>
      <c r="Y68" s="182">
        <f t="shared" si="2"/>
        <v>39604071.740000002</v>
      </c>
      <c r="Z68" s="184">
        <f t="shared" si="17"/>
        <v>39604071.740000002</v>
      </c>
      <c r="AA68" s="184"/>
      <c r="AB68" s="179"/>
      <c r="AC68" s="184">
        <f t="shared" si="94"/>
        <v>39604071.740000002</v>
      </c>
      <c r="AD68" s="181">
        <f t="shared" si="91"/>
        <v>0.81326278065958979</v>
      </c>
      <c r="AE68" s="179">
        <v>6.7800279461356964E-4</v>
      </c>
      <c r="AF68" s="185">
        <f t="shared" si="95"/>
        <v>-5306307.1509480029</v>
      </c>
      <c r="AG68" s="186">
        <f t="shared" si="78"/>
        <v>-0.1089641018970096</v>
      </c>
      <c r="AH68" s="191"/>
      <c r="AI68" s="220"/>
      <c r="AJ68" s="239" t="s">
        <v>408</v>
      </c>
      <c r="AK68" s="349">
        <f>(J68/K68)*AL68</f>
        <v>11175917.575547647</v>
      </c>
      <c r="AL68" s="349">
        <f>5341209+9000000-455860</f>
        <v>13885349</v>
      </c>
      <c r="AM68" s="179">
        <f>AL68/K68</f>
        <v>0.2294955393369929</v>
      </c>
      <c r="AN68" s="188" t="s">
        <v>433</v>
      </c>
      <c r="AO68" s="264">
        <v>14341209</v>
      </c>
      <c r="AP68" s="320">
        <f>AL68</f>
        <v>13885349</v>
      </c>
      <c r="AQ68" s="320">
        <f>AL68</f>
        <v>13885349</v>
      </c>
      <c r="AR68" s="179">
        <f t="shared" si="35"/>
        <v>0.2294955393369929</v>
      </c>
      <c r="AS68" s="321" t="s">
        <v>433</v>
      </c>
      <c r="AT68" s="354" t="s">
        <v>712</v>
      </c>
      <c r="AU68" s="387"/>
      <c r="AV68" s="230"/>
    </row>
    <row r="69" spans="1:51" ht="50.45" customHeight="1">
      <c r="A69" s="375" t="s">
        <v>34</v>
      </c>
      <c r="B69" s="69" t="s">
        <v>494</v>
      </c>
      <c r="C69" s="70" t="s">
        <v>0</v>
      </c>
      <c r="D69" s="70" t="s">
        <v>156</v>
      </c>
      <c r="E69" s="70"/>
      <c r="F69" s="348">
        <v>0</v>
      </c>
      <c r="G69" s="348"/>
      <c r="H69" s="348">
        <v>0</v>
      </c>
      <c r="I69" s="348"/>
      <c r="J69" s="348">
        <v>0</v>
      </c>
      <c r="K69" s="348">
        <v>0</v>
      </c>
      <c r="L69" s="348"/>
      <c r="M69" s="125"/>
      <c r="N69" s="348"/>
      <c r="O69" s="127"/>
      <c r="P69" s="348">
        <v>0</v>
      </c>
      <c r="Q69" s="73">
        <v>0</v>
      </c>
      <c r="R69" s="76">
        <v>0</v>
      </c>
      <c r="S69" s="73">
        <v>0</v>
      </c>
      <c r="T69" s="76">
        <v>0</v>
      </c>
      <c r="U69" s="76">
        <v>0</v>
      </c>
      <c r="V69" s="76">
        <v>0</v>
      </c>
      <c r="W69" s="76">
        <v>0</v>
      </c>
      <c r="X69" s="76">
        <v>0</v>
      </c>
      <c r="Y69" s="76">
        <f t="shared" si="2"/>
        <v>0</v>
      </c>
      <c r="Z69" s="77">
        <f t="shared" si="17"/>
        <v>0</v>
      </c>
      <c r="AA69" s="77"/>
      <c r="AB69" s="125"/>
      <c r="AC69" s="77">
        <f t="shared" si="94"/>
        <v>0</v>
      </c>
      <c r="AD69" s="73">
        <v>0</v>
      </c>
      <c r="AE69" s="125"/>
      <c r="AF69" s="166">
        <f t="shared" si="95"/>
        <v>0</v>
      </c>
      <c r="AG69" s="167">
        <v>0</v>
      </c>
      <c r="AH69" s="120"/>
      <c r="AI69" s="82"/>
      <c r="AJ69" s="238" t="s">
        <v>409</v>
      </c>
      <c r="AK69" s="348">
        <v>0</v>
      </c>
      <c r="AL69" s="348">
        <v>0</v>
      </c>
      <c r="AM69" s="125">
        <v>0</v>
      </c>
      <c r="AN69" s="82"/>
      <c r="AO69" s="348">
        <v>0</v>
      </c>
      <c r="AP69" s="120"/>
      <c r="AQ69" s="120"/>
      <c r="AR69" s="125" t="e">
        <f t="shared" si="35"/>
        <v>#DIV/0!</v>
      </c>
      <c r="AS69" s="120"/>
      <c r="AT69" s="120"/>
      <c r="AU69" s="382"/>
      <c r="AV69" s="256"/>
      <c r="AW69" s="42"/>
      <c r="AX69" s="42"/>
      <c r="AY69" s="42"/>
    </row>
    <row r="70" spans="1:51" ht="84" customHeight="1">
      <c r="A70" s="375" t="s">
        <v>35</v>
      </c>
      <c r="B70" s="69" t="s">
        <v>495</v>
      </c>
      <c r="C70" s="70" t="s">
        <v>0</v>
      </c>
      <c r="D70" s="70" t="s">
        <v>156</v>
      </c>
      <c r="E70" s="70"/>
      <c r="F70" s="348">
        <v>850000</v>
      </c>
      <c r="G70" s="348"/>
      <c r="H70" s="348">
        <v>850000</v>
      </c>
      <c r="I70" s="348"/>
      <c r="J70" s="348">
        <v>850000</v>
      </c>
      <c r="K70" s="348">
        <v>1000000</v>
      </c>
      <c r="L70" s="348">
        <v>849999.97</v>
      </c>
      <c r="M70" s="125">
        <f t="shared" si="89"/>
        <v>0.99999996470588237</v>
      </c>
      <c r="N70" s="348"/>
      <c r="O70" s="127">
        <f t="shared" si="5"/>
        <v>0</v>
      </c>
      <c r="P70" s="348">
        <v>849999.97</v>
      </c>
      <c r="Q70" s="73">
        <f>P70/J70</f>
        <v>0.99999996470588237</v>
      </c>
      <c r="R70" s="76">
        <v>849999.97</v>
      </c>
      <c r="S70" s="73">
        <f>R70/J70</f>
        <v>0.99999996470588237</v>
      </c>
      <c r="T70" s="76">
        <v>150802.47</v>
      </c>
      <c r="U70" s="76">
        <v>0</v>
      </c>
      <c r="V70" s="76">
        <v>0</v>
      </c>
      <c r="W70" s="76">
        <v>0</v>
      </c>
      <c r="X70" s="76">
        <v>0</v>
      </c>
      <c r="Y70" s="76">
        <f t="shared" si="2"/>
        <v>150802.47</v>
      </c>
      <c r="Z70" s="77">
        <f t="shared" si="17"/>
        <v>150802.47</v>
      </c>
      <c r="AA70" s="77"/>
      <c r="AB70" s="125"/>
      <c r="AC70" s="77">
        <f t="shared" si="94"/>
        <v>150802.47</v>
      </c>
      <c r="AD70" s="73">
        <f>AC70/J70</f>
        <v>0.17741467058823529</v>
      </c>
      <c r="AE70" s="125">
        <v>0</v>
      </c>
      <c r="AF70" s="166">
        <f t="shared" si="95"/>
        <v>3.0000000027939677E-2</v>
      </c>
      <c r="AG70" s="167">
        <f>AF70/J70</f>
        <v>3.5294117679929029E-8</v>
      </c>
      <c r="AH70" s="120"/>
      <c r="AI70" s="82"/>
      <c r="AJ70" s="238" t="s">
        <v>409</v>
      </c>
      <c r="AK70" s="348">
        <v>0</v>
      </c>
      <c r="AL70" s="348">
        <v>0</v>
      </c>
      <c r="AM70" s="125">
        <v>0</v>
      </c>
      <c r="AN70" s="82"/>
      <c r="AO70" s="348">
        <v>0</v>
      </c>
      <c r="AP70" s="120"/>
      <c r="AQ70" s="120"/>
      <c r="AR70" s="125">
        <f t="shared" si="35"/>
        <v>0</v>
      </c>
      <c r="AS70" s="120"/>
      <c r="AT70" s="120"/>
      <c r="AU70" s="382"/>
      <c r="AV70" s="256"/>
      <c r="AW70" s="42"/>
      <c r="AX70" s="42"/>
      <c r="AY70" s="42"/>
    </row>
    <row r="71" spans="1:51" ht="100.9" customHeight="1">
      <c r="A71" s="375" t="s">
        <v>36</v>
      </c>
      <c r="B71" s="69" t="s">
        <v>496</v>
      </c>
      <c r="C71" s="70" t="s">
        <v>0</v>
      </c>
      <c r="D71" s="70" t="s">
        <v>156</v>
      </c>
      <c r="E71" s="70"/>
      <c r="F71" s="348">
        <v>0</v>
      </c>
      <c r="G71" s="348"/>
      <c r="H71" s="348">
        <v>0</v>
      </c>
      <c r="I71" s="348"/>
      <c r="J71" s="348">
        <v>0</v>
      </c>
      <c r="K71" s="348">
        <v>0</v>
      </c>
      <c r="L71" s="348"/>
      <c r="M71" s="125"/>
      <c r="N71" s="348"/>
      <c r="O71" s="127"/>
      <c r="P71" s="348">
        <v>0</v>
      </c>
      <c r="Q71" s="73">
        <v>0</v>
      </c>
      <c r="R71" s="76">
        <v>0</v>
      </c>
      <c r="S71" s="73">
        <v>0</v>
      </c>
      <c r="T71" s="76">
        <v>0</v>
      </c>
      <c r="U71" s="76">
        <v>0</v>
      </c>
      <c r="V71" s="76">
        <v>0</v>
      </c>
      <c r="W71" s="76">
        <v>0</v>
      </c>
      <c r="X71" s="76">
        <v>0</v>
      </c>
      <c r="Y71" s="76">
        <f t="shared" si="2"/>
        <v>0</v>
      </c>
      <c r="Z71" s="77">
        <f t="shared" si="17"/>
        <v>0</v>
      </c>
      <c r="AA71" s="77"/>
      <c r="AB71" s="125"/>
      <c r="AC71" s="77">
        <f t="shared" si="94"/>
        <v>0</v>
      </c>
      <c r="AD71" s="73">
        <v>0</v>
      </c>
      <c r="AE71" s="125"/>
      <c r="AF71" s="166">
        <f t="shared" si="95"/>
        <v>0</v>
      </c>
      <c r="AG71" s="167">
        <v>0</v>
      </c>
      <c r="AH71" s="120"/>
      <c r="AI71" s="82"/>
      <c r="AJ71" s="238" t="s">
        <v>409</v>
      </c>
      <c r="AK71" s="348">
        <v>0</v>
      </c>
      <c r="AL71" s="348">
        <v>0</v>
      </c>
      <c r="AM71" s="125">
        <v>0</v>
      </c>
      <c r="AN71" s="82"/>
      <c r="AO71" s="348">
        <v>0</v>
      </c>
      <c r="AP71" s="120"/>
      <c r="AQ71" s="120"/>
      <c r="AR71" s="125" t="e">
        <f t="shared" si="35"/>
        <v>#DIV/0!</v>
      </c>
      <c r="AS71" s="120"/>
      <c r="AT71" s="120"/>
      <c r="AU71" s="382"/>
      <c r="AV71" s="256"/>
      <c r="AW71" s="42"/>
      <c r="AX71" s="42"/>
      <c r="AY71" s="42"/>
    </row>
    <row r="72" spans="1:51" ht="78" customHeight="1">
      <c r="A72" s="375" t="s">
        <v>259</v>
      </c>
      <c r="B72" s="69" t="s">
        <v>497</v>
      </c>
      <c r="C72" s="70" t="s">
        <v>0</v>
      </c>
      <c r="D72" s="70" t="s">
        <v>155</v>
      </c>
      <c r="E72" s="70"/>
      <c r="F72" s="348">
        <v>106292.77976400001</v>
      </c>
      <c r="G72" s="348"/>
      <c r="H72" s="348">
        <v>106292.77976400001</v>
      </c>
      <c r="I72" s="348"/>
      <c r="J72" s="348">
        <v>106292.77976399999</v>
      </c>
      <c r="K72" s="348">
        <v>106292.77976399999</v>
      </c>
      <c r="L72" s="348">
        <v>290134.15000000002</v>
      </c>
      <c r="M72" s="125">
        <f>L72/J72</f>
        <v>2.7295753356359653</v>
      </c>
      <c r="N72" s="348">
        <v>130066.47</v>
      </c>
      <c r="O72" s="127">
        <f t="shared" ref="O72:O135" si="96">N72/J72</f>
        <v>1.2236623248426122</v>
      </c>
      <c r="P72" s="348">
        <v>100952.21</v>
      </c>
      <c r="Q72" s="73">
        <f>P72/J72</f>
        <v>0.9497560438643381</v>
      </c>
      <c r="R72" s="76">
        <v>100952.21</v>
      </c>
      <c r="S72" s="73">
        <f>R72/J72</f>
        <v>0.9497560438643381</v>
      </c>
      <c r="T72" s="76">
        <v>100952.20999999999</v>
      </c>
      <c r="U72" s="76">
        <v>0</v>
      </c>
      <c r="V72" s="76">
        <v>0</v>
      </c>
      <c r="W72" s="76">
        <v>0</v>
      </c>
      <c r="X72" s="76">
        <v>0</v>
      </c>
      <c r="Y72" s="76">
        <f t="shared" ref="Y72:Y115" si="97">AC72-X72</f>
        <v>100952.20999999999</v>
      </c>
      <c r="Z72" s="77">
        <f t="shared" si="17"/>
        <v>100952.20999999999</v>
      </c>
      <c r="AA72" s="77">
        <v>59115.47</v>
      </c>
      <c r="AB72" s="131">
        <f>AA72/J72</f>
        <v>0.55615696692901484</v>
      </c>
      <c r="AC72" s="77">
        <f t="shared" si="94"/>
        <v>100952.20999999999</v>
      </c>
      <c r="AD72" s="73">
        <f>AC72/J72</f>
        <v>0.94975604386433798</v>
      </c>
      <c r="AE72" s="125">
        <v>0</v>
      </c>
      <c r="AF72" s="166">
        <f t="shared" si="95"/>
        <v>5340.5697639999853</v>
      </c>
      <c r="AG72" s="167">
        <f>AF72/J72</f>
        <v>5.0243956135661891E-2</v>
      </c>
      <c r="AH72" s="138" t="s">
        <v>319</v>
      </c>
      <c r="AI72" s="139"/>
      <c r="AJ72" s="238" t="s">
        <v>409</v>
      </c>
      <c r="AK72" s="348">
        <v>0</v>
      </c>
      <c r="AL72" s="348">
        <v>0</v>
      </c>
      <c r="AM72" s="125">
        <v>0</v>
      </c>
      <c r="AN72" s="82"/>
      <c r="AO72" s="348">
        <v>0</v>
      </c>
      <c r="AP72" s="120"/>
      <c r="AQ72" s="120"/>
      <c r="AR72" s="125">
        <f t="shared" si="35"/>
        <v>0</v>
      </c>
      <c r="AS72" s="120"/>
      <c r="AT72" s="120"/>
      <c r="AU72" s="382"/>
      <c r="AV72" s="256"/>
      <c r="AW72" s="42"/>
      <c r="AX72" s="42"/>
      <c r="AY72" s="42"/>
    </row>
    <row r="73" spans="1:51" s="50" customFormat="1" ht="41.25" customHeight="1">
      <c r="A73" s="373" t="s">
        <v>37</v>
      </c>
      <c r="B73" s="64" t="s">
        <v>498</v>
      </c>
      <c r="C73" s="65" t="s">
        <v>0</v>
      </c>
      <c r="D73" s="65" t="s">
        <v>685</v>
      </c>
      <c r="E73" s="65"/>
      <c r="F73" s="347">
        <f>SUM(F74:F76)</f>
        <v>8720346</v>
      </c>
      <c r="G73" s="347"/>
      <c r="H73" s="347">
        <f>SUM(H74:H76)</f>
        <v>8720346</v>
      </c>
      <c r="I73" s="347"/>
      <c r="J73" s="347">
        <f>SUM(J74:J76)</f>
        <v>8720346</v>
      </c>
      <c r="K73" s="347">
        <f>SUM(K74:K76)</f>
        <v>10098256</v>
      </c>
      <c r="L73" s="347">
        <f t="shared" ref="L73:N73" si="98">SUM(L74:L76)</f>
        <v>8720345</v>
      </c>
      <c r="M73" s="124">
        <f>L73/J73</f>
        <v>0.99999988532565109</v>
      </c>
      <c r="N73" s="347">
        <f t="shared" si="98"/>
        <v>0</v>
      </c>
      <c r="O73" s="121">
        <f t="shared" si="96"/>
        <v>0</v>
      </c>
      <c r="P73" s="66">
        <f>SUM(P74:P76)</f>
        <v>8720345</v>
      </c>
      <c r="Q73" s="67">
        <f>P73/J73</f>
        <v>0.99999988532565109</v>
      </c>
      <c r="R73" s="66">
        <f>SUM(R74:R76)</f>
        <v>8720345</v>
      </c>
      <c r="S73" s="67">
        <f>R73/J73</f>
        <v>0.99999988532565109</v>
      </c>
      <c r="T73" s="66">
        <f t="shared" ref="T73:X73" si="99">SUM(T74:T76)</f>
        <v>5618510.1900000004</v>
      </c>
      <c r="U73" s="66">
        <f t="shared" si="99"/>
        <v>0</v>
      </c>
      <c r="V73" s="66">
        <f t="shared" si="99"/>
        <v>0</v>
      </c>
      <c r="W73" s="66">
        <f t="shared" si="99"/>
        <v>0</v>
      </c>
      <c r="X73" s="66">
        <f t="shared" si="99"/>
        <v>0</v>
      </c>
      <c r="Y73" s="66">
        <f t="shared" si="97"/>
        <v>5618510.1900000004</v>
      </c>
      <c r="Z73" s="66">
        <f t="shared" si="17"/>
        <v>5618510.1900000004</v>
      </c>
      <c r="AA73" s="66">
        <f>SUM(AA74:AA76)</f>
        <v>0</v>
      </c>
      <c r="AB73" s="128">
        <f>AA73/J73</f>
        <v>0</v>
      </c>
      <c r="AC73" s="66">
        <f>SUM(AC74:AC76)</f>
        <v>5618510.1900000004</v>
      </c>
      <c r="AD73" s="67">
        <f>AC73/J73</f>
        <v>0.64429899799847401</v>
      </c>
      <c r="AE73" s="133">
        <f>SUM(AE74:AE76)</f>
        <v>0</v>
      </c>
      <c r="AF73" s="56">
        <v>0</v>
      </c>
      <c r="AG73" s="57">
        <f>AF73/J73</f>
        <v>0</v>
      </c>
      <c r="AH73" s="119"/>
      <c r="AI73" s="217"/>
      <c r="AJ73" s="237" t="s">
        <v>408</v>
      </c>
      <c r="AK73" s="347">
        <f>SUM(AK74:AK76)</f>
        <v>0</v>
      </c>
      <c r="AL73" s="347">
        <f>SUM(AL74:AL76)</f>
        <v>0</v>
      </c>
      <c r="AM73" s="193">
        <v>0</v>
      </c>
      <c r="AN73" s="86"/>
      <c r="AO73" s="194">
        <v>0</v>
      </c>
      <c r="AP73" s="347">
        <f>SUM(AP74:AP76)</f>
        <v>1500000</v>
      </c>
      <c r="AQ73" s="347">
        <f>SUM(AQ74:AQ76)</f>
        <v>1500000</v>
      </c>
      <c r="AR73" s="193">
        <f t="shared" si="35"/>
        <v>0.14854050045869308</v>
      </c>
      <c r="AS73" s="119"/>
      <c r="AT73" s="119"/>
      <c r="AU73" s="388"/>
      <c r="AV73" s="259"/>
    </row>
    <row r="74" spans="1:51" ht="289.5" customHeight="1">
      <c r="A74" s="375" t="s">
        <v>38</v>
      </c>
      <c r="B74" s="69" t="s">
        <v>499</v>
      </c>
      <c r="C74" s="70" t="s">
        <v>0</v>
      </c>
      <c r="D74" s="70" t="s">
        <v>685</v>
      </c>
      <c r="E74" s="70"/>
      <c r="F74" s="348">
        <v>0</v>
      </c>
      <c r="G74" s="348"/>
      <c r="H74" s="348">
        <v>0</v>
      </c>
      <c r="I74" s="348"/>
      <c r="J74" s="348">
        <v>0</v>
      </c>
      <c r="K74" s="348">
        <v>0</v>
      </c>
      <c r="L74" s="348"/>
      <c r="M74" s="125"/>
      <c r="N74" s="348"/>
      <c r="O74" s="121"/>
      <c r="P74" s="348">
        <v>0</v>
      </c>
      <c r="Q74" s="73">
        <v>0</v>
      </c>
      <c r="R74" s="76">
        <v>0</v>
      </c>
      <c r="S74" s="73">
        <v>0</v>
      </c>
      <c r="T74" s="109">
        <v>0</v>
      </c>
      <c r="U74" s="109">
        <v>0</v>
      </c>
      <c r="V74" s="109">
        <v>0</v>
      </c>
      <c r="W74" s="109">
        <v>0</v>
      </c>
      <c r="X74" s="109">
        <v>0</v>
      </c>
      <c r="Y74" s="76">
        <f t="shared" si="97"/>
        <v>0</v>
      </c>
      <c r="Z74" s="77">
        <f t="shared" si="17"/>
        <v>0</v>
      </c>
      <c r="AA74" s="77"/>
      <c r="AB74" s="125"/>
      <c r="AC74" s="77">
        <f>SUM(T74:V74)</f>
        <v>0</v>
      </c>
      <c r="AD74" s="73">
        <v>0</v>
      </c>
      <c r="AE74" s="125"/>
      <c r="AF74" s="166">
        <f>J74-R74</f>
        <v>0</v>
      </c>
      <c r="AG74" s="167">
        <v>0</v>
      </c>
      <c r="AH74" s="120"/>
      <c r="AI74" s="82"/>
      <c r="AJ74" s="238" t="s">
        <v>409</v>
      </c>
      <c r="AK74" s="348">
        <v>0</v>
      </c>
      <c r="AL74" s="348">
        <v>0</v>
      </c>
      <c r="AM74" s="125">
        <v>0</v>
      </c>
      <c r="AN74" s="82"/>
      <c r="AO74" s="348">
        <v>0</v>
      </c>
      <c r="AP74" s="76"/>
      <c r="AQ74" s="76"/>
      <c r="AR74" s="125" t="e">
        <f t="shared" si="35"/>
        <v>#DIV/0!</v>
      </c>
      <c r="AS74" s="165"/>
      <c r="AT74" s="165"/>
      <c r="AU74" s="382"/>
      <c r="AV74" s="256"/>
      <c r="AW74" s="42"/>
      <c r="AX74" s="42"/>
      <c r="AY74" s="42"/>
    </row>
    <row r="75" spans="1:51" ht="33.6" customHeight="1">
      <c r="A75" s="375" t="s">
        <v>39</v>
      </c>
      <c r="B75" s="69" t="s">
        <v>500</v>
      </c>
      <c r="C75" s="70" t="s">
        <v>0</v>
      </c>
      <c r="D75" s="70" t="s">
        <v>685</v>
      </c>
      <c r="E75" s="70"/>
      <c r="F75" s="348">
        <v>0</v>
      </c>
      <c r="G75" s="348"/>
      <c r="H75" s="348">
        <v>0</v>
      </c>
      <c r="I75" s="348"/>
      <c r="J75" s="348">
        <v>0</v>
      </c>
      <c r="K75" s="348">
        <v>0</v>
      </c>
      <c r="L75" s="348"/>
      <c r="M75" s="125"/>
      <c r="N75" s="348"/>
      <c r="O75" s="121"/>
      <c r="P75" s="348">
        <v>0</v>
      </c>
      <c r="Q75" s="73">
        <v>0</v>
      </c>
      <c r="R75" s="76">
        <v>0</v>
      </c>
      <c r="S75" s="73">
        <v>0</v>
      </c>
      <c r="T75" s="109">
        <v>0</v>
      </c>
      <c r="U75" s="109">
        <v>0</v>
      </c>
      <c r="V75" s="109">
        <v>0</v>
      </c>
      <c r="W75" s="109">
        <v>0</v>
      </c>
      <c r="X75" s="109">
        <v>0</v>
      </c>
      <c r="Y75" s="76">
        <f t="shared" si="97"/>
        <v>0</v>
      </c>
      <c r="Z75" s="77">
        <f t="shared" si="17"/>
        <v>0</v>
      </c>
      <c r="AA75" s="77"/>
      <c r="AB75" s="125"/>
      <c r="AC75" s="77">
        <f>SUM(T75:V75)</f>
        <v>0</v>
      </c>
      <c r="AD75" s="73">
        <v>0</v>
      </c>
      <c r="AE75" s="125"/>
      <c r="AF75" s="166">
        <f>J75-R75</f>
        <v>0</v>
      </c>
      <c r="AG75" s="167">
        <v>0</v>
      </c>
      <c r="AH75" s="120"/>
      <c r="AI75" s="82"/>
      <c r="AJ75" s="238" t="s">
        <v>409</v>
      </c>
      <c r="AK75" s="348">
        <v>0</v>
      </c>
      <c r="AL75" s="348">
        <v>0</v>
      </c>
      <c r="AM75" s="125">
        <v>0</v>
      </c>
      <c r="AN75" s="82"/>
      <c r="AO75" s="348">
        <v>0</v>
      </c>
      <c r="AP75" s="301"/>
      <c r="AQ75" s="301"/>
      <c r="AR75" s="125" t="e">
        <f t="shared" si="35"/>
        <v>#DIV/0!</v>
      </c>
      <c r="AS75" s="301"/>
      <c r="AT75" s="301"/>
      <c r="AU75" s="382"/>
      <c r="AV75" s="256"/>
      <c r="AW75" s="42"/>
      <c r="AX75" s="42"/>
      <c r="AY75" s="42"/>
    </row>
    <row r="76" spans="1:51" ht="363.75" customHeight="1">
      <c r="A76" s="377" t="s">
        <v>40</v>
      </c>
      <c r="B76" s="345" t="s">
        <v>501</v>
      </c>
      <c r="C76" s="178" t="s">
        <v>0</v>
      </c>
      <c r="D76" s="178" t="s">
        <v>685</v>
      </c>
      <c r="E76" s="178"/>
      <c r="F76" s="349">
        <v>8720346</v>
      </c>
      <c r="G76" s="349"/>
      <c r="H76" s="349">
        <v>8720346</v>
      </c>
      <c r="I76" s="349"/>
      <c r="J76" s="349">
        <v>8720346</v>
      </c>
      <c r="K76" s="349">
        <v>10098256</v>
      </c>
      <c r="L76" s="349">
        <v>8720345</v>
      </c>
      <c r="M76" s="179">
        <f>L76/J76</f>
        <v>0.99999988532565109</v>
      </c>
      <c r="N76" s="349"/>
      <c r="O76" s="326"/>
      <c r="P76" s="349">
        <v>8720345</v>
      </c>
      <c r="Q76" s="181">
        <f t="shared" ref="Q76:Q89" si="100">P76/J76</f>
        <v>0.99999988532565109</v>
      </c>
      <c r="R76" s="182">
        <v>8720345</v>
      </c>
      <c r="S76" s="181">
        <f t="shared" ref="S76:S89" si="101">R76/J76</f>
        <v>0.99999988532565109</v>
      </c>
      <c r="T76" s="182">
        <v>5618510.1900000004</v>
      </c>
      <c r="U76" s="182">
        <v>0</v>
      </c>
      <c r="V76" s="182">
        <v>0</v>
      </c>
      <c r="W76" s="183">
        <v>0</v>
      </c>
      <c r="X76" s="183">
        <v>0</v>
      </c>
      <c r="Y76" s="182">
        <f t="shared" si="97"/>
        <v>5618510.1900000004</v>
      </c>
      <c r="Z76" s="184">
        <f t="shared" si="17"/>
        <v>5618510.1900000004</v>
      </c>
      <c r="AA76" s="184"/>
      <c r="AB76" s="179"/>
      <c r="AC76" s="184">
        <f t="shared" ref="AC76" si="102">SUM(T76:V76)</f>
        <v>5618510.1900000004</v>
      </c>
      <c r="AD76" s="181">
        <f t="shared" ref="AD76:AD89" si="103">AC76/J76</f>
        <v>0.64429899799847401</v>
      </c>
      <c r="AE76" s="179">
        <v>0</v>
      </c>
      <c r="AF76" s="185">
        <v>0</v>
      </c>
      <c r="AG76" s="186">
        <f t="shared" ref="AG76:AG89" si="104">AF76/J76</f>
        <v>0</v>
      </c>
      <c r="AH76" s="205" t="s">
        <v>394</v>
      </c>
      <c r="AI76" s="205"/>
      <c r="AJ76" s="239" t="s">
        <v>408</v>
      </c>
      <c r="AK76" s="349">
        <v>0</v>
      </c>
      <c r="AL76" s="349">
        <v>0</v>
      </c>
      <c r="AM76" s="179">
        <v>0</v>
      </c>
      <c r="AN76" s="220"/>
      <c r="AO76" s="349">
        <v>0</v>
      </c>
      <c r="AP76" s="182">
        <v>1500000</v>
      </c>
      <c r="AQ76" s="182">
        <f>AP76</f>
        <v>1500000</v>
      </c>
      <c r="AR76" s="179">
        <f t="shared" si="35"/>
        <v>0.14854050045869308</v>
      </c>
      <c r="AS76" s="189" t="s">
        <v>433</v>
      </c>
      <c r="AT76" s="355" t="s">
        <v>715</v>
      </c>
      <c r="AU76" s="378"/>
      <c r="AV76" s="256"/>
      <c r="AW76" s="42"/>
      <c r="AX76" s="42"/>
      <c r="AY76" s="42"/>
    </row>
    <row r="77" spans="1:51" s="50" customFormat="1" ht="33">
      <c r="A77" s="373" t="s">
        <v>41</v>
      </c>
      <c r="B77" s="64" t="s">
        <v>502</v>
      </c>
      <c r="C77" s="65" t="s">
        <v>0</v>
      </c>
      <c r="D77" s="65"/>
      <c r="E77" s="65"/>
      <c r="F77" s="347">
        <f>F78</f>
        <v>33745009.938956</v>
      </c>
      <c r="G77" s="347"/>
      <c r="H77" s="347">
        <f>H78</f>
        <v>33745009.938956</v>
      </c>
      <c r="I77" s="347"/>
      <c r="J77" s="347">
        <f>J78</f>
        <v>33745009.938956</v>
      </c>
      <c r="K77" s="347">
        <f>K78</f>
        <v>36258628</v>
      </c>
      <c r="L77" s="347">
        <f t="shared" ref="L77:N77" si="105">L78</f>
        <v>50715868.730000004</v>
      </c>
      <c r="M77" s="124">
        <f>L77/J77</f>
        <v>1.5029146182426356</v>
      </c>
      <c r="N77" s="347">
        <f t="shared" si="105"/>
        <v>17788891.859999999</v>
      </c>
      <c r="O77" s="121">
        <f t="shared" si="96"/>
        <v>0.52715621931004686</v>
      </c>
      <c r="P77" s="66">
        <f>P78</f>
        <v>32932618.730000004</v>
      </c>
      <c r="Q77" s="67">
        <f t="shared" si="100"/>
        <v>0.97592558987460387</v>
      </c>
      <c r="R77" s="66">
        <f>R78</f>
        <v>32735197.990000002</v>
      </c>
      <c r="S77" s="67">
        <f t="shared" si="101"/>
        <v>0.97007522146881198</v>
      </c>
      <c r="T77" s="66">
        <f t="shared" ref="T77:X77" si="106">T78</f>
        <v>16087221.699999999</v>
      </c>
      <c r="U77" s="66">
        <f t="shared" si="106"/>
        <v>0</v>
      </c>
      <c r="V77" s="66">
        <f t="shared" si="106"/>
        <v>1834757.2100000002</v>
      </c>
      <c r="W77" s="66">
        <f t="shared" si="106"/>
        <v>0</v>
      </c>
      <c r="X77" s="66">
        <f t="shared" si="106"/>
        <v>0</v>
      </c>
      <c r="Y77" s="66">
        <f t="shared" si="97"/>
        <v>17921978.91</v>
      </c>
      <c r="Z77" s="66">
        <f t="shared" si="17"/>
        <v>16087221.699999999</v>
      </c>
      <c r="AA77" s="66">
        <f>AA78</f>
        <v>0</v>
      </c>
      <c r="AB77" s="133"/>
      <c r="AC77" s="66">
        <f>AC78</f>
        <v>17921978.91</v>
      </c>
      <c r="AD77" s="67">
        <f t="shared" si="103"/>
        <v>0.53110012243056015</v>
      </c>
      <c r="AE77" s="133">
        <v>1.1446875831826974E-3</v>
      </c>
      <c r="AF77" s="56">
        <f t="shared" ref="AF77:AF82" si="107">J77-R77</f>
        <v>1009811.9489559978</v>
      </c>
      <c r="AG77" s="57">
        <f t="shared" si="104"/>
        <v>2.9924778531188048E-2</v>
      </c>
      <c r="AH77" s="119"/>
      <c r="AI77" s="217"/>
      <c r="AJ77" s="237" t="s">
        <v>408</v>
      </c>
      <c r="AK77" s="66">
        <f>AK78</f>
        <v>1964508.5938956002</v>
      </c>
      <c r="AL77" s="66">
        <f>AL78</f>
        <v>2127445.9000000004</v>
      </c>
      <c r="AM77" s="193">
        <f>AL77/K77</f>
        <v>5.8674197490318727E-2</v>
      </c>
      <c r="AN77" s="193"/>
      <c r="AO77" s="66">
        <f t="shared" ref="AO77:AQ78" si="108">AO78</f>
        <v>2127445.9000000004</v>
      </c>
      <c r="AP77" s="66">
        <f t="shared" si="108"/>
        <v>2127445.9000000004</v>
      </c>
      <c r="AQ77" s="66">
        <f t="shared" si="108"/>
        <v>2127445.9000000004</v>
      </c>
      <c r="AR77" s="193">
        <f t="shared" si="35"/>
        <v>5.8674197490318727E-2</v>
      </c>
      <c r="AS77" s="119"/>
      <c r="AT77" s="119"/>
      <c r="AU77" s="374"/>
      <c r="AV77" s="25"/>
      <c r="AW77" s="244"/>
      <c r="AX77" s="244"/>
      <c r="AY77" s="244"/>
    </row>
    <row r="78" spans="1:51" s="50" customFormat="1" ht="33">
      <c r="A78" s="373" t="s">
        <v>42</v>
      </c>
      <c r="B78" s="64" t="s">
        <v>503</v>
      </c>
      <c r="C78" s="65" t="s">
        <v>0</v>
      </c>
      <c r="D78" s="65"/>
      <c r="E78" s="65"/>
      <c r="F78" s="347">
        <f>F79+F82</f>
        <v>33745009.938956</v>
      </c>
      <c r="G78" s="347"/>
      <c r="H78" s="347">
        <f>H79+H82</f>
        <v>33745009.938956</v>
      </c>
      <c r="I78" s="347"/>
      <c r="J78" s="347">
        <f>J79+J82</f>
        <v>33745009.938956</v>
      </c>
      <c r="K78" s="347">
        <f>K79+K82</f>
        <v>36258628</v>
      </c>
      <c r="L78" s="347">
        <f t="shared" ref="L78:N78" si="109">L79+L82</f>
        <v>50715868.730000004</v>
      </c>
      <c r="M78" s="124">
        <f>L78/J78</f>
        <v>1.5029146182426356</v>
      </c>
      <c r="N78" s="347">
        <f t="shared" si="109"/>
        <v>17788891.859999999</v>
      </c>
      <c r="O78" s="121">
        <f t="shared" si="96"/>
        <v>0.52715621931004686</v>
      </c>
      <c r="P78" s="66">
        <f>P79+P82</f>
        <v>32932618.730000004</v>
      </c>
      <c r="Q78" s="67">
        <f t="shared" si="100"/>
        <v>0.97592558987460387</v>
      </c>
      <c r="R78" s="66">
        <f>R79+R82</f>
        <v>32735197.990000002</v>
      </c>
      <c r="S78" s="67">
        <f t="shared" si="101"/>
        <v>0.97007522146881198</v>
      </c>
      <c r="T78" s="66">
        <f t="shared" ref="T78:X78" si="110">T79+T82</f>
        <v>16087221.699999999</v>
      </c>
      <c r="U78" s="66">
        <f t="shared" si="110"/>
        <v>0</v>
      </c>
      <c r="V78" s="66">
        <f t="shared" si="110"/>
        <v>1834757.2100000002</v>
      </c>
      <c r="W78" s="66">
        <f t="shared" si="110"/>
        <v>0</v>
      </c>
      <c r="X78" s="66">
        <f t="shared" si="110"/>
        <v>0</v>
      </c>
      <c r="Y78" s="66">
        <f t="shared" si="97"/>
        <v>17921978.91</v>
      </c>
      <c r="Z78" s="66">
        <f t="shared" ref="Z78:Z144" si="111">T78+U78+W78</f>
        <v>16087221.699999999</v>
      </c>
      <c r="AA78" s="66">
        <f>AA79+AA82</f>
        <v>0</v>
      </c>
      <c r="AB78" s="133"/>
      <c r="AC78" s="66">
        <f>AC79+AC82</f>
        <v>17921978.91</v>
      </c>
      <c r="AD78" s="67">
        <f t="shared" si="103"/>
        <v>0.53110012243056015</v>
      </c>
      <c r="AE78" s="133">
        <v>1.1446875831826974E-3</v>
      </c>
      <c r="AF78" s="56">
        <f t="shared" si="107"/>
        <v>1009811.9489559978</v>
      </c>
      <c r="AG78" s="57">
        <f t="shared" si="104"/>
        <v>2.9924778531188048E-2</v>
      </c>
      <c r="AH78" s="119"/>
      <c r="AI78" s="217"/>
      <c r="AJ78" s="237" t="s">
        <v>408</v>
      </c>
      <c r="AK78" s="66">
        <f>AK79</f>
        <v>1964508.5938956002</v>
      </c>
      <c r="AL78" s="66">
        <f>AL79</f>
        <v>2127445.9000000004</v>
      </c>
      <c r="AM78" s="193">
        <f t="shared" ref="AM78:AM79" si="112">AL78/K78</f>
        <v>5.8674197490318727E-2</v>
      </c>
      <c r="AN78" s="193"/>
      <c r="AO78" s="66">
        <f t="shared" si="108"/>
        <v>2127445.9000000004</v>
      </c>
      <c r="AP78" s="66">
        <f t="shared" si="108"/>
        <v>2127445.9000000004</v>
      </c>
      <c r="AQ78" s="66">
        <f t="shared" si="108"/>
        <v>2127445.9000000004</v>
      </c>
      <c r="AR78" s="193">
        <f t="shared" si="35"/>
        <v>5.8674197490318727E-2</v>
      </c>
      <c r="AS78" s="119"/>
      <c r="AT78" s="119"/>
      <c r="AU78" s="374"/>
      <c r="AV78" s="25"/>
      <c r="AW78" s="244"/>
      <c r="AX78" s="244"/>
      <c r="AY78" s="244"/>
    </row>
    <row r="79" spans="1:51" s="50" customFormat="1" ht="49.5">
      <c r="A79" s="381" t="s">
        <v>43</v>
      </c>
      <c r="B79" s="74" t="s">
        <v>504</v>
      </c>
      <c r="C79" s="75" t="s">
        <v>0</v>
      </c>
      <c r="D79" s="75" t="s">
        <v>156</v>
      </c>
      <c r="E79" s="75"/>
      <c r="F79" s="348">
        <f>SUM(F80:F81)</f>
        <v>19645085.938956</v>
      </c>
      <c r="G79" s="348"/>
      <c r="H79" s="348">
        <f>SUM(H80:H81)</f>
        <v>19645085.938956</v>
      </c>
      <c r="I79" s="348"/>
      <c r="J79" s="348">
        <f>SUM(J80:J81)</f>
        <v>19645085.938956</v>
      </c>
      <c r="K79" s="348">
        <f>SUM(K80:K81)</f>
        <v>21274459</v>
      </c>
      <c r="L79" s="348">
        <f t="shared" ref="L79:N79" si="113">SUM(L80:L81)</f>
        <v>19267917.240000002</v>
      </c>
      <c r="M79" s="125">
        <f>L79/J79</f>
        <v>0.98080086286575741</v>
      </c>
      <c r="N79" s="348">
        <f t="shared" si="113"/>
        <v>0</v>
      </c>
      <c r="O79" s="127">
        <f t="shared" si="96"/>
        <v>0</v>
      </c>
      <c r="P79" s="81">
        <f>SUM(P80:P81)</f>
        <v>19267917.240000002</v>
      </c>
      <c r="Q79" s="73">
        <f t="shared" si="100"/>
        <v>0.98080086286575741</v>
      </c>
      <c r="R79" s="78">
        <f>SUM(R80:R81)</f>
        <v>19267917.240000002</v>
      </c>
      <c r="S79" s="73">
        <f t="shared" si="101"/>
        <v>0.98080086286575741</v>
      </c>
      <c r="T79" s="78">
        <f t="shared" ref="T79:V79" si="114">SUM(T80:T81)</f>
        <v>12419773.99</v>
      </c>
      <c r="U79" s="78">
        <f t="shared" si="114"/>
        <v>0</v>
      </c>
      <c r="V79" s="78">
        <f t="shared" si="114"/>
        <v>0</v>
      </c>
      <c r="W79" s="78">
        <f>SUM(W80:W81)</f>
        <v>0</v>
      </c>
      <c r="X79" s="78">
        <f>SUM(X80:X81)</f>
        <v>0</v>
      </c>
      <c r="Y79" s="78">
        <f t="shared" si="97"/>
        <v>12419773.99</v>
      </c>
      <c r="Z79" s="113">
        <f t="shared" si="111"/>
        <v>12419773.99</v>
      </c>
      <c r="AA79" s="78">
        <f>SUM(AA80:AA81)</f>
        <v>0</v>
      </c>
      <c r="AB79" s="131"/>
      <c r="AC79" s="78">
        <f>SUM(AC80:AC81)</f>
        <v>12419773.99</v>
      </c>
      <c r="AD79" s="73">
        <f t="shared" si="103"/>
        <v>0.63220766906250681</v>
      </c>
      <c r="AE79" s="136"/>
      <c r="AF79" s="166">
        <f t="shared" si="107"/>
        <v>377168.69895599782</v>
      </c>
      <c r="AG79" s="167">
        <f t="shared" si="104"/>
        <v>1.9199137134242625E-2</v>
      </c>
      <c r="AH79" s="120"/>
      <c r="AI79" s="82"/>
      <c r="AJ79" s="238" t="s">
        <v>408</v>
      </c>
      <c r="AK79" s="78">
        <f>AK80+AK81</f>
        <v>1964508.5938956002</v>
      </c>
      <c r="AL79" s="78">
        <f>AL80+AL81</f>
        <v>2127445.9000000004</v>
      </c>
      <c r="AM79" s="132">
        <f t="shared" si="112"/>
        <v>0.10000000000000002</v>
      </c>
      <c r="AN79" s="125"/>
      <c r="AO79" s="78">
        <f>AO80+AO81</f>
        <v>2127445.9000000004</v>
      </c>
      <c r="AP79" s="78">
        <f>AP80+AP81</f>
        <v>2127445.9000000004</v>
      </c>
      <c r="AQ79" s="78">
        <f>AQ80+AQ81</f>
        <v>2127445.9000000004</v>
      </c>
      <c r="AR79" s="132">
        <f t="shared" si="35"/>
        <v>0.10000000000000002</v>
      </c>
      <c r="AS79" s="120"/>
      <c r="AT79" s="120"/>
      <c r="AU79" s="383"/>
      <c r="AV79" s="257"/>
      <c r="AW79" s="244"/>
      <c r="AX79" s="244"/>
      <c r="AY79" s="244"/>
    </row>
    <row r="80" spans="1:51" ht="49.5">
      <c r="A80" s="377" t="s">
        <v>258</v>
      </c>
      <c r="B80" s="345" t="s">
        <v>505</v>
      </c>
      <c r="C80" s="178" t="s">
        <v>0</v>
      </c>
      <c r="D80" s="178" t="s">
        <v>156</v>
      </c>
      <c r="E80" s="178"/>
      <c r="F80" s="349">
        <v>10940071.258476</v>
      </c>
      <c r="G80" s="349"/>
      <c r="H80" s="349">
        <v>10940071.258476</v>
      </c>
      <c r="I80" s="349"/>
      <c r="J80" s="349">
        <v>10940071.258476</v>
      </c>
      <c r="K80" s="349">
        <v>11944613</v>
      </c>
      <c r="L80" s="349">
        <v>10564743.41</v>
      </c>
      <c r="M80" s="179"/>
      <c r="N80" s="349"/>
      <c r="O80" s="180">
        <f t="shared" si="96"/>
        <v>0</v>
      </c>
      <c r="P80" s="349">
        <v>10564743.41</v>
      </c>
      <c r="Q80" s="181">
        <f t="shared" si="100"/>
        <v>0.96569237625530013</v>
      </c>
      <c r="R80" s="182">
        <v>10564743.41</v>
      </c>
      <c r="S80" s="181">
        <f t="shared" si="101"/>
        <v>0.96569237625530013</v>
      </c>
      <c r="T80" s="182">
        <v>7223151.1500000004</v>
      </c>
      <c r="U80" s="182">
        <v>0</v>
      </c>
      <c r="V80" s="182">
        <v>0</v>
      </c>
      <c r="W80" s="182">
        <v>0</v>
      </c>
      <c r="X80" s="182">
        <v>0</v>
      </c>
      <c r="Y80" s="182">
        <f t="shared" si="97"/>
        <v>7223151.1500000004</v>
      </c>
      <c r="Z80" s="184">
        <f t="shared" si="111"/>
        <v>7223151.1500000004</v>
      </c>
      <c r="AA80" s="184"/>
      <c r="AB80" s="179"/>
      <c r="AC80" s="184">
        <f>SUM(T80:V80)</f>
        <v>7223151.1500000004</v>
      </c>
      <c r="AD80" s="181">
        <f t="shared" si="103"/>
        <v>0.66024717566658853</v>
      </c>
      <c r="AE80" s="179">
        <v>6.2330838886075086E-6</v>
      </c>
      <c r="AF80" s="185">
        <f t="shared" si="107"/>
        <v>375327.84847600013</v>
      </c>
      <c r="AG80" s="186">
        <f t="shared" si="104"/>
        <v>3.4307623744699901E-2</v>
      </c>
      <c r="AH80" s="191"/>
      <c r="AI80" s="220"/>
      <c r="AJ80" s="239" t="s">
        <v>408</v>
      </c>
      <c r="AK80" s="349">
        <f>(J80/K80)*AL80</f>
        <v>1094007.1258476002</v>
      </c>
      <c r="AL80" s="349">
        <v>1194461.3</v>
      </c>
      <c r="AM80" s="179">
        <f>AL80/K80</f>
        <v>0.1</v>
      </c>
      <c r="AN80" s="179" t="s">
        <v>433</v>
      </c>
      <c r="AO80" s="349">
        <f>AL80</f>
        <v>1194461.3</v>
      </c>
      <c r="AP80" s="320">
        <f>AL80</f>
        <v>1194461.3</v>
      </c>
      <c r="AQ80" s="320">
        <f>AL80</f>
        <v>1194461.3</v>
      </c>
      <c r="AR80" s="179">
        <f t="shared" si="35"/>
        <v>0.1</v>
      </c>
      <c r="AS80" s="321" t="s">
        <v>433</v>
      </c>
      <c r="AT80" s="321" t="s">
        <v>690</v>
      </c>
      <c r="AU80" s="389"/>
      <c r="AV80" s="253"/>
    </row>
    <row r="81" spans="1:51" ht="66">
      <c r="A81" s="377" t="s">
        <v>239</v>
      </c>
      <c r="B81" s="345" t="s">
        <v>506</v>
      </c>
      <c r="C81" s="178" t="s">
        <v>0</v>
      </c>
      <c r="D81" s="178" t="s">
        <v>156</v>
      </c>
      <c r="E81" s="178"/>
      <c r="F81" s="349">
        <v>8705014.6804799996</v>
      </c>
      <c r="G81" s="349"/>
      <c r="H81" s="349">
        <v>8705014.6804799996</v>
      </c>
      <c r="I81" s="349"/>
      <c r="J81" s="349">
        <v>8705014.6804799996</v>
      </c>
      <c r="K81" s="349">
        <v>9329846</v>
      </c>
      <c r="L81" s="349">
        <v>8703173.8300000001</v>
      </c>
      <c r="M81" s="179"/>
      <c r="N81" s="349"/>
      <c r="O81" s="180">
        <f t="shared" si="96"/>
        <v>0</v>
      </c>
      <c r="P81" s="349">
        <v>8703173.8300000001</v>
      </c>
      <c r="Q81" s="181">
        <f t="shared" si="100"/>
        <v>0.99978852988219225</v>
      </c>
      <c r="R81" s="182">
        <v>8703173.8300000001</v>
      </c>
      <c r="S81" s="181">
        <f t="shared" si="101"/>
        <v>0.99978852988219225</v>
      </c>
      <c r="T81" s="182">
        <v>5196622.84</v>
      </c>
      <c r="U81" s="182">
        <v>0</v>
      </c>
      <c r="V81" s="182">
        <v>0</v>
      </c>
      <c r="W81" s="182">
        <v>0</v>
      </c>
      <c r="X81" s="182">
        <v>0</v>
      </c>
      <c r="Y81" s="182">
        <f t="shared" si="97"/>
        <v>5196622.84</v>
      </c>
      <c r="Z81" s="184">
        <f t="shared" si="111"/>
        <v>5196622.84</v>
      </c>
      <c r="AA81" s="184"/>
      <c r="AB81" s="179"/>
      <c r="AC81" s="184">
        <f>SUM(T81:V81)</f>
        <v>5196622.84</v>
      </c>
      <c r="AD81" s="181">
        <f t="shared" si="103"/>
        <v>0.59696887722117609</v>
      </c>
      <c r="AE81" s="179">
        <v>3.635421843165868E-4</v>
      </c>
      <c r="AF81" s="185">
        <f t="shared" si="107"/>
        <v>1840.8504799995571</v>
      </c>
      <c r="AG81" s="186">
        <f t="shared" si="104"/>
        <v>2.1147011780777968E-4</v>
      </c>
      <c r="AH81" s="191"/>
      <c r="AI81" s="220"/>
      <c r="AJ81" s="239" t="s">
        <v>408</v>
      </c>
      <c r="AK81" s="349">
        <f>(J81/K81)*AL81</f>
        <v>870501.46804800001</v>
      </c>
      <c r="AL81" s="349">
        <v>932984.60000000009</v>
      </c>
      <c r="AM81" s="179">
        <f>AK81/J81</f>
        <v>0.1</v>
      </c>
      <c r="AN81" s="179" t="s">
        <v>433</v>
      </c>
      <c r="AO81" s="349">
        <f>AL81</f>
        <v>932984.60000000009</v>
      </c>
      <c r="AP81" s="320">
        <f>AL81</f>
        <v>932984.60000000009</v>
      </c>
      <c r="AQ81" s="320">
        <f>AL81</f>
        <v>932984.60000000009</v>
      </c>
      <c r="AR81" s="179">
        <f t="shared" si="35"/>
        <v>0.1</v>
      </c>
      <c r="AS81" s="321" t="s">
        <v>433</v>
      </c>
      <c r="AT81" s="321" t="s">
        <v>691</v>
      </c>
      <c r="AU81" s="378"/>
      <c r="AV81" s="253"/>
    </row>
    <row r="82" spans="1:51" s="50" customFormat="1" ht="84" customHeight="1">
      <c r="A82" s="381" t="s">
        <v>44</v>
      </c>
      <c r="B82" s="74" t="s">
        <v>507</v>
      </c>
      <c r="C82" s="75" t="s">
        <v>0</v>
      </c>
      <c r="D82" s="75" t="s">
        <v>156</v>
      </c>
      <c r="E82" s="75"/>
      <c r="F82" s="348">
        <f>SUM(F83:F85)</f>
        <v>14099924</v>
      </c>
      <c r="G82" s="348"/>
      <c r="H82" s="348">
        <f>SUM(H83:H85)</f>
        <v>14099924</v>
      </c>
      <c r="I82" s="348"/>
      <c r="J82" s="348">
        <f>SUM(J83:J85)</f>
        <v>14099924</v>
      </c>
      <c r="K82" s="348">
        <f>SUM(K83:K85)</f>
        <v>14984169</v>
      </c>
      <c r="L82" s="348">
        <f t="shared" ref="L82:N82" si="115">SUM(L83:L85)</f>
        <v>31447951.490000002</v>
      </c>
      <c r="M82" s="125">
        <f>L82/J82</f>
        <v>2.2303631913193294</v>
      </c>
      <c r="N82" s="348">
        <f t="shared" si="115"/>
        <v>17788891.859999999</v>
      </c>
      <c r="O82" s="127">
        <f t="shared" si="96"/>
        <v>1.2616303364472035</v>
      </c>
      <c r="P82" s="81">
        <f>SUM(P83:P85)</f>
        <v>13664701.49</v>
      </c>
      <c r="Q82" s="73">
        <f t="shared" si="100"/>
        <v>0.9691329889437702</v>
      </c>
      <c r="R82" s="78">
        <f>R83+R84+R85</f>
        <v>13467280.75</v>
      </c>
      <c r="S82" s="73">
        <f t="shared" si="101"/>
        <v>0.9551314425524563</v>
      </c>
      <c r="T82" s="78">
        <f t="shared" ref="T82:V82" si="116">SUM(T83:T85)</f>
        <v>3667447.71</v>
      </c>
      <c r="U82" s="78">
        <f t="shared" si="116"/>
        <v>0</v>
      </c>
      <c r="V82" s="78">
        <f t="shared" si="116"/>
        <v>1834757.2100000002</v>
      </c>
      <c r="W82" s="78">
        <v>0</v>
      </c>
      <c r="X82" s="78">
        <v>0</v>
      </c>
      <c r="Y82" s="78">
        <f t="shared" si="97"/>
        <v>5502204.9199999999</v>
      </c>
      <c r="Z82" s="113">
        <f t="shared" si="111"/>
        <v>3667447.71</v>
      </c>
      <c r="AA82" s="78">
        <f>AA83+AA84+AA85</f>
        <v>0</v>
      </c>
      <c r="AB82" s="131"/>
      <c r="AC82" s="78">
        <f>SUM(AC83:AC85)</f>
        <v>5502204.9199999999</v>
      </c>
      <c r="AD82" s="73">
        <f t="shared" si="103"/>
        <v>0.39022940265493627</v>
      </c>
      <c r="AE82" s="136"/>
      <c r="AF82" s="166">
        <f t="shared" si="107"/>
        <v>632643.25</v>
      </c>
      <c r="AG82" s="167">
        <f t="shared" si="104"/>
        <v>4.4868557447543686E-2</v>
      </c>
      <c r="AH82" s="120"/>
      <c r="AI82" s="82"/>
      <c r="AJ82" s="238" t="s">
        <v>409</v>
      </c>
      <c r="AK82" s="348">
        <v>0</v>
      </c>
      <c r="AL82" s="348">
        <v>0</v>
      </c>
      <c r="AM82" s="125">
        <v>0</v>
      </c>
      <c r="AN82" s="82"/>
      <c r="AO82" s="348">
        <v>0</v>
      </c>
      <c r="AP82" s="120"/>
      <c r="AQ82" s="120"/>
      <c r="AR82" s="125">
        <f t="shared" si="35"/>
        <v>0</v>
      </c>
      <c r="AS82" s="120"/>
      <c r="AT82" s="120"/>
      <c r="AU82" s="382"/>
      <c r="AV82" s="256"/>
    </row>
    <row r="83" spans="1:51" ht="50.45" customHeight="1">
      <c r="A83" s="375" t="s">
        <v>222</v>
      </c>
      <c r="B83" s="69" t="s">
        <v>508</v>
      </c>
      <c r="C83" s="70" t="s">
        <v>0</v>
      </c>
      <c r="D83" s="70" t="s">
        <v>156</v>
      </c>
      <c r="E83" s="70"/>
      <c r="F83" s="348">
        <v>1262086</v>
      </c>
      <c r="G83" s="348"/>
      <c r="H83" s="348">
        <v>1262086</v>
      </c>
      <c r="I83" s="348"/>
      <c r="J83" s="348">
        <v>1262086</v>
      </c>
      <c r="K83" s="348">
        <v>1484807</v>
      </c>
      <c r="L83" s="348">
        <v>1262085.1499999999</v>
      </c>
      <c r="M83" s="125">
        <f t="shared" ref="M83:M85" si="117">L83/J83</f>
        <v>0.99999932651182244</v>
      </c>
      <c r="N83" s="348"/>
      <c r="O83" s="127">
        <f t="shared" si="96"/>
        <v>0</v>
      </c>
      <c r="P83" s="348">
        <v>1262085.1499999999</v>
      </c>
      <c r="Q83" s="73">
        <f t="shared" si="100"/>
        <v>0.99999932651182244</v>
      </c>
      <c r="R83" s="76">
        <v>1262085.1499999999</v>
      </c>
      <c r="S83" s="73">
        <f t="shared" si="101"/>
        <v>0.99999932651182244</v>
      </c>
      <c r="T83" s="76">
        <v>369565.26</v>
      </c>
      <c r="U83" s="76">
        <v>0</v>
      </c>
      <c r="V83" s="76">
        <v>0</v>
      </c>
      <c r="W83" s="76">
        <v>0</v>
      </c>
      <c r="X83" s="76">
        <v>0</v>
      </c>
      <c r="Y83" s="76">
        <f t="shared" si="97"/>
        <v>369565.26</v>
      </c>
      <c r="Z83" s="77">
        <f t="shared" si="111"/>
        <v>369565.26</v>
      </c>
      <c r="AA83" s="77"/>
      <c r="AB83" s="125"/>
      <c r="AC83" s="77">
        <f t="shared" ref="AC83:AC85" si="118">SUM(T83:V83)</f>
        <v>369565.26</v>
      </c>
      <c r="AD83" s="73">
        <f t="shared" si="103"/>
        <v>0.29282098050370575</v>
      </c>
      <c r="AE83" s="125">
        <v>3.9672925417629949E-2</v>
      </c>
      <c r="AF83" s="166">
        <v>0</v>
      </c>
      <c r="AG83" s="167">
        <f t="shared" si="104"/>
        <v>0</v>
      </c>
      <c r="AH83" s="120"/>
      <c r="AI83" s="82"/>
      <c r="AJ83" s="238" t="s">
        <v>409</v>
      </c>
      <c r="AK83" s="348">
        <v>0</v>
      </c>
      <c r="AL83" s="348">
        <v>0</v>
      </c>
      <c r="AM83" s="125">
        <v>0</v>
      </c>
      <c r="AN83" s="82"/>
      <c r="AO83" s="348">
        <v>0</v>
      </c>
      <c r="AP83" s="120"/>
      <c r="AQ83" s="120"/>
      <c r="AR83" s="125">
        <f t="shared" si="35"/>
        <v>0</v>
      </c>
      <c r="AS83" s="120"/>
      <c r="AT83" s="120"/>
      <c r="AU83" s="382"/>
      <c r="AV83" s="256"/>
      <c r="AW83" s="42"/>
      <c r="AX83" s="42"/>
      <c r="AY83" s="42"/>
    </row>
    <row r="84" spans="1:51" ht="67.150000000000006" customHeight="1">
      <c r="A84" s="375" t="s">
        <v>45</v>
      </c>
      <c r="B84" s="69" t="s">
        <v>509</v>
      </c>
      <c r="C84" s="70" t="s">
        <v>0</v>
      </c>
      <c r="D84" s="70" t="s">
        <v>156</v>
      </c>
      <c r="E84" s="70"/>
      <c r="F84" s="348">
        <v>3215141</v>
      </c>
      <c r="G84" s="348"/>
      <c r="H84" s="348">
        <v>3215141</v>
      </c>
      <c r="I84" s="348"/>
      <c r="J84" s="348">
        <v>3215141</v>
      </c>
      <c r="K84" s="348">
        <v>3782518</v>
      </c>
      <c r="L84" s="348">
        <v>3215136.33</v>
      </c>
      <c r="M84" s="125">
        <f t="shared" si="117"/>
        <v>0.99999854749760586</v>
      </c>
      <c r="N84" s="348"/>
      <c r="O84" s="127">
        <f t="shared" si="96"/>
        <v>0</v>
      </c>
      <c r="P84" s="348">
        <v>3215136.33</v>
      </c>
      <c r="Q84" s="73">
        <f t="shared" si="100"/>
        <v>0.99999854749760586</v>
      </c>
      <c r="R84" s="76">
        <v>3215136.33</v>
      </c>
      <c r="S84" s="73">
        <f t="shared" si="101"/>
        <v>0.99999854749760586</v>
      </c>
      <c r="T84" s="76">
        <v>1853354.95</v>
      </c>
      <c r="U84" s="109">
        <v>0</v>
      </c>
      <c r="V84" s="76">
        <v>241209.09</v>
      </c>
      <c r="W84" s="76">
        <v>0</v>
      </c>
      <c r="X84" s="76">
        <v>0</v>
      </c>
      <c r="Y84" s="76">
        <f t="shared" si="97"/>
        <v>2094564.04</v>
      </c>
      <c r="Z84" s="77">
        <f t="shared" si="111"/>
        <v>1853354.95</v>
      </c>
      <c r="AA84" s="77"/>
      <c r="AB84" s="125"/>
      <c r="AC84" s="77">
        <f t="shared" si="118"/>
        <v>2094564.04</v>
      </c>
      <c r="AD84" s="73">
        <f t="shared" si="103"/>
        <v>0.65146879716939321</v>
      </c>
      <c r="AE84" s="125">
        <v>1.0553161412103224E-6</v>
      </c>
      <c r="AF84" s="166">
        <f t="shared" ref="AF84:AF89" si="119">J84-R84</f>
        <v>4.6699999999254942</v>
      </c>
      <c r="AG84" s="167">
        <f t="shared" si="104"/>
        <v>1.45250239411755E-6</v>
      </c>
      <c r="AH84" s="120"/>
      <c r="AI84" s="82"/>
      <c r="AJ84" s="238" t="s">
        <v>409</v>
      </c>
      <c r="AK84" s="348">
        <v>0</v>
      </c>
      <c r="AL84" s="348">
        <v>0</v>
      </c>
      <c r="AM84" s="125">
        <v>0</v>
      </c>
      <c r="AN84" s="82"/>
      <c r="AO84" s="348">
        <v>0</v>
      </c>
      <c r="AP84" s="120"/>
      <c r="AQ84" s="120"/>
      <c r="AR84" s="125">
        <f t="shared" ref="AR84:AR147" si="120">AQ84/K84</f>
        <v>0</v>
      </c>
      <c r="AS84" s="120"/>
      <c r="AT84" s="120"/>
      <c r="AU84" s="382"/>
      <c r="AV84" s="256"/>
      <c r="AW84" s="42"/>
      <c r="AX84" s="42"/>
      <c r="AY84" s="42"/>
    </row>
    <row r="85" spans="1:51" ht="84" customHeight="1">
      <c r="A85" s="375" t="s">
        <v>255</v>
      </c>
      <c r="B85" s="69" t="s">
        <v>510</v>
      </c>
      <c r="C85" s="70" t="s">
        <v>0</v>
      </c>
      <c r="D85" s="70" t="s">
        <v>156</v>
      </c>
      <c r="E85" s="70"/>
      <c r="F85" s="348">
        <v>9622697</v>
      </c>
      <c r="G85" s="348"/>
      <c r="H85" s="348">
        <v>9622697</v>
      </c>
      <c r="I85" s="348"/>
      <c r="J85" s="348">
        <v>9622697</v>
      </c>
      <c r="K85" s="348">
        <v>9716844</v>
      </c>
      <c r="L85" s="348">
        <v>26970730.010000002</v>
      </c>
      <c r="M85" s="125">
        <f t="shared" si="117"/>
        <v>2.8028244067125883</v>
      </c>
      <c r="N85" s="348">
        <v>17788891.859999999</v>
      </c>
      <c r="O85" s="127">
        <f t="shared" si="96"/>
        <v>1.848638885751053</v>
      </c>
      <c r="P85" s="348">
        <v>9187480.0099999998</v>
      </c>
      <c r="Q85" s="73">
        <f t="shared" si="100"/>
        <v>0.9547718285216712</v>
      </c>
      <c r="R85" s="76">
        <v>8990059.2699999996</v>
      </c>
      <c r="S85" s="73">
        <f t="shared" si="101"/>
        <v>0.93425567385110431</v>
      </c>
      <c r="T85" s="76">
        <v>1444527.5</v>
      </c>
      <c r="U85" s="109">
        <v>0</v>
      </c>
      <c r="V85" s="76">
        <v>1593548.12</v>
      </c>
      <c r="W85" s="76">
        <v>55371.01</v>
      </c>
      <c r="X85" s="76">
        <v>0</v>
      </c>
      <c r="Y85" s="76">
        <f t="shared" si="97"/>
        <v>3038075.62</v>
      </c>
      <c r="Z85" s="77">
        <f t="shared" si="111"/>
        <v>1499898.51</v>
      </c>
      <c r="AA85" s="77"/>
      <c r="AB85" s="125"/>
      <c r="AC85" s="77">
        <f t="shared" si="118"/>
        <v>3038075.62</v>
      </c>
      <c r="AD85" s="73">
        <f t="shared" si="103"/>
        <v>0.31571976338858015</v>
      </c>
      <c r="AE85" s="125">
        <v>2.7844273701553378E-4</v>
      </c>
      <c r="AF85" s="166">
        <f t="shared" si="119"/>
        <v>632637.73000000045</v>
      </c>
      <c r="AG85" s="167">
        <f t="shared" si="104"/>
        <v>6.5744326148895721E-2</v>
      </c>
      <c r="AH85" s="120"/>
      <c r="AI85" s="82"/>
      <c r="AJ85" s="238" t="s">
        <v>409</v>
      </c>
      <c r="AK85" s="348">
        <v>0</v>
      </c>
      <c r="AL85" s="348">
        <v>0</v>
      </c>
      <c r="AM85" s="125">
        <v>0</v>
      </c>
      <c r="AN85" s="82"/>
      <c r="AO85" s="348">
        <v>0</v>
      </c>
      <c r="AP85" s="120"/>
      <c r="AQ85" s="120"/>
      <c r="AR85" s="125">
        <f t="shared" si="120"/>
        <v>0</v>
      </c>
      <c r="AS85" s="120"/>
      <c r="AT85" s="120"/>
      <c r="AU85" s="382"/>
      <c r="AV85" s="256"/>
      <c r="AW85" s="42"/>
      <c r="AX85" s="42"/>
      <c r="AY85" s="42"/>
    </row>
    <row r="86" spans="1:51" s="50" customFormat="1" ht="33.6" customHeight="1">
      <c r="A86" s="373" t="s">
        <v>46</v>
      </c>
      <c r="B86" s="64" t="s">
        <v>511</v>
      </c>
      <c r="C86" s="65" t="s">
        <v>0</v>
      </c>
      <c r="D86" s="65" t="s">
        <v>1</v>
      </c>
      <c r="E86" s="65"/>
      <c r="F86" s="347">
        <f>F87+F95+F101</f>
        <v>16087896.158307999</v>
      </c>
      <c r="G86" s="347"/>
      <c r="H86" s="347">
        <f>H87+H95+H101</f>
        <v>16087896.158307999</v>
      </c>
      <c r="I86" s="347"/>
      <c r="J86" s="347">
        <f>J87+J95+J101</f>
        <v>16087896.195831999</v>
      </c>
      <c r="K86" s="347">
        <f>K87+K95+K101</f>
        <v>16885633.037524</v>
      </c>
      <c r="L86" s="347">
        <f t="shared" ref="L86:N86" si="121">L87+L95+L101</f>
        <v>26353353.130000003</v>
      </c>
      <c r="M86" s="124">
        <f t="shared" ref="M86:M87" si="122">L86/J86</f>
        <v>1.6380857266363731</v>
      </c>
      <c r="N86" s="347">
        <f t="shared" si="121"/>
        <v>9119051.4100000001</v>
      </c>
      <c r="O86" s="121">
        <f t="shared" si="96"/>
        <v>0.56682684292571051</v>
      </c>
      <c r="P86" s="66">
        <f>P87+P95+P101</f>
        <v>15213322.329999998</v>
      </c>
      <c r="Q86" s="67">
        <f t="shared" si="100"/>
        <v>0.94563777294519202</v>
      </c>
      <c r="R86" s="66">
        <f>R87+R95+R101</f>
        <v>14605012.039999999</v>
      </c>
      <c r="S86" s="67">
        <f t="shared" si="101"/>
        <v>0.90782609871536957</v>
      </c>
      <c r="T86" s="66">
        <f t="shared" ref="T86:X86" si="123">T87+T95+T101</f>
        <v>4745913.76</v>
      </c>
      <c r="U86" s="66">
        <f t="shared" si="123"/>
        <v>0</v>
      </c>
      <c r="V86" s="66">
        <f t="shared" si="123"/>
        <v>3070841.4</v>
      </c>
      <c r="W86" s="66">
        <f t="shared" si="123"/>
        <v>1147349.3999999999</v>
      </c>
      <c r="X86" s="66">
        <f t="shared" si="123"/>
        <v>21009.43</v>
      </c>
      <c r="Y86" s="66">
        <f t="shared" si="97"/>
        <v>7795745.7300000004</v>
      </c>
      <c r="Z86" s="66">
        <f t="shared" si="111"/>
        <v>5893263.1600000001</v>
      </c>
      <c r="AA86" s="66">
        <f>AA87+AA95+AA101</f>
        <v>2070465.2600000002</v>
      </c>
      <c r="AB86" s="128">
        <f>AA86/J86</f>
        <v>0.12869707976711148</v>
      </c>
      <c r="AC86" s="66">
        <f>AC87+AC95+AC101</f>
        <v>7816755.1600000001</v>
      </c>
      <c r="AD86" s="67">
        <f t="shared" si="103"/>
        <v>0.48587802064667351</v>
      </c>
      <c r="AE86" s="133">
        <v>5.3587215133156091E-3</v>
      </c>
      <c r="AF86" s="168">
        <f t="shared" si="119"/>
        <v>1482884.1558320001</v>
      </c>
      <c r="AG86" s="57">
        <f t="shared" si="104"/>
        <v>9.2173901284630433E-2</v>
      </c>
      <c r="AH86" s="119"/>
      <c r="AI86" s="217"/>
      <c r="AJ86" s="237" t="s">
        <v>409</v>
      </c>
      <c r="AK86" s="347">
        <f>AK87+AK95+AK101</f>
        <v>0</v>
      </c>
      <c r="AL86" s="347">
        <f>AL87+AL95+AL101</f>
        <v>0</v>
      </c>
      <c r="AM86" s="125">
        <v>0</v>
      </c>
      <c r="AN86" s="86"/>
      <c r="AO86" s="348">
        <v>0</v>
      </c>
      <c r="AP86" s="347">
        <f>AP87+AP95+AP101</f>
        <v>940072</v>
      </c>
      <c r="AQ86" s="347">
        <f>AQ87+AQ95+AQ101</f>
        <v>0</v>
      </c>
      <c r="AR86" s="125">
        <f t="shared" si="120"/>
        <v>0</v>
      </c>
      <c r="AS86" s="119"/>
      <c r="AT86" s="119"/>
      <c r="AU86" s="382"/>
      <c r="AV86" s="256"/>
    </row>
    <row r="87" spans="1:51" s="50" customFormat="1" ht="33.6" customHeight="1">
      <c r="A87" s="373" t="s">
        <v>47</v>
      </c>
      <c r="B87" s="64" t="s">
        <v>512</v>
      </c>
      <c r="C87" s="65" t="s">
        <v>0</v>
      </c>
      <c r="D87" s="65" t="s">
        <v>1</v>
      </c>
      <c r="E87" s="65"/>
      <c r="F87" s="347">
        <f>F88+F91+F92</f>
        <v>5334805.2162720002</v>
      </c>
      <c r="G87" s="347"/>
      <c r="H87" s="347">
        <f>H88+H91+H92</f>
        <v>5334805.2162720002</v>
      </c>
      <c r="I87" s="347"/>
      <c r="J87" s="347">
        <f>J88+J91+J92</f>
        <v>5334805.253796</v>
      </c>
      <c r="K87" s="347">
        <f>K88+K91+K92</f>
        <v>5786155.0375239998</v>
      </c>
      <c r="L87" s="347">
        <f t="shared" ref="L87:N87" si="124">L88+L91+L92</f>
        <v>6251094.5899999999</v>
      </c>
      <c r="M87" s="124">
        <f t="shared" si="122"/>
        <v>1.171756848209597</v>
      </c>
      <c r="N87" s="347">
        <f t="shared" si="124"/>
        <v>795444.83000000007</v>
      </c>
      <c r="O87" s="121">
        <f t="shared" si="96"/>
        <v>0.14910475493627409</v>
      </c>
      <c r="P87" s="66">
        <f>P88+P91+P92</f>
        <v>5279881.6899999995</v>
      </c>
      <c r="Q87" s="67">
        <f t="shared" si="100"/>
        <v>0.98970467314492516</v>
      </c>
      <c r="R87" s="66">
        <f>R88+R91+R92</f>
        <v>5279881.6899999995</v>
      </c>
      <c r="S87" s="67">
        <f t="shared" si="101"/>
        <v>0.98970467314492516</v>
      </c>
      <c r="T87" s="66">
        <f t="shared" ref="T87:X87" si="125">T88+T91+T92</f>
        <v>2138591.6</v>
      </c>
      <c r="U87" s="66">
        <f t="shared" si="125"/>
        <v>0</v>
      </c>
      <c r="V87" s="66">
        <f t="shared" si="125"/>
        <v>57811.66</v>
      </c>
      <c r="W87" s="66">
        <f t="shared" si="125"/>
        <v>55404.149999999907</v>
      </c>
      <c r="X87" s="66">
        <f t="shared" si="125"/>
        <v>3774.6</v>
      </c>
      <c r="Y87" s="66">
        <f t="shared" si="97"/>
        <v>2192628.6599999997</v>
      </c>
      <c r="Z87" s="66">
        <f t="shared" si="111"/>
        <v>2193995.75</v>
      </c>
      <c r="AA87" s="66">
        <f>AA88+AA91+AA92</f>
        <v>175768.07</v>
      </c>
      <c r="AB87" s="128">
        <f>AA87/J87</f>
        <v>3.2947420128397679E-2</v>
      </c>
      <c r="AC87" s="66">
        <f>AC88+AC91+AC92</f>
        <v>2196403.2599999998</v>
      </c>
      <c r="AD87" s="67">
        <f t="shared" si="103"/>
        <v>0.41171198488213623</v>
      </c>
      <c r="AE87" s="133"/>
      <c r="AF87" s="56">
        <f t="shared" si="119"/>
        <v>54923.563796000555</v>
      </c>
      <c r="AG87" s="57">
        <f t="shared" si="104"/>
        <v>1.0295326855074886E-2</v>
      </c>
      <c r="AH87" s="119"/>
      <c r="AI87" s="217"/>
      <c r="AJ87" s="237" t="s">
        <v>409</v>
      </c>
      <c r="AK87" s="347">
        <f>AK88+AK91+AK92</f>
        <v>0</v>
      </c>
      <c r="AL87" s="347">
        <f>AL88+AL91+AL92</f>
        <v>0</v>
      </c>
      <c r="AM87" s="125">
        <v>0</v>
      </c>
      <c r="AN87" s="86"/>
      <c r="AO87" s="348">
        <v>0</v>
      </c>
      <c r="AP87" s="347">
        <f>AP88+AP91+AP92</f>
        <v>0</v>
      </c>
      <c r="AQ87" s="347">
        <f>AQ88+AQ91+AQ92</f>
        <v>0</v>
      </c>
      <c r="AR87" s="125">
        <f t="shared" si="120"/>
        <v>0</v>
      </c>
      <c r="AS87" s="119"/>
      <c r="AT87" s="119"/>
      <c r="AU87" s="382"/>
      <c r="AV87" s="256"/>
    </row>
    <row r="88" spans="1:51" s="50" customFormat="1" ht="50.45" customHeight="1">
      <c r="A88" s="381" t="s">
        <v>48</v>
      </c>
      <c r="B88" s="74" t="s">
        <v>513</v>
      </c>
      <c r="C88" s="75" t="s">
        <v>0</v>
      </c>
      <c r="D88" s="75" t="s">
        <v>1</v>
      </c>
      <c r="E88" s="75"/>
      <c r="F88" s="348">
        <f>SUM(F89:F90)</f>
        <v>2781474</v>
      </c>
      <c r="G88" s="348"/>
      <c r="H88" s="348">
        <f>SUM(H89:H90)</f>
        <v>2781474</v>
      </c>
      <c r="I88" s="348"/>
      <c r="J88" s="348">
        <f>SUM(J89:J90)</f>
        <v>2781474.0375239998</v>
      </c>
      <c r="K88" s="348">
        <f>SUM(K89:K90)</f>
        <v>2781474.0375239998</v>
      </c>
      <c r="L88" s="348">
        <f t="shared" ref="L88:N88" si="126">SUM(L89:L90)</f>
        <v>2781474</v>
      </c>
      <c r="M88" s="125">
        <f>L88/J88</f>
        <v>0.99999998650931154</v>
      </c>
      <c r="N88" s="348">
        <f t="shared" si="126"/>
        <v>0</v>
      </c>
      <c r="O88" s="127">
        <f t="shared" si="96"/>
        <v>0</v>
      </c>
      <c r="P88" s="81">
        <f>SUM(P89:P90)</f>
        <v>2781474</v>
      </c>
      <c r="Q88" s="73">
        <f t="shared" si="100"/>
        <v>0.99999998650931154</v>
      </c>
      <c r="R88" s="78">
        <f>SUM(R89:R90)</f>
        <v>2781474</v>
      </c>
      <c r="S88" s="73">
        <f t="shared" si="101"/>
        <v>0.99999998650931154</v>
      </c>
      <c r="T88" s="78">
        <f t="shared" ref="T88:X88" si="127">SUM(T89:T90)</f>
        <v>870227.37</v>
      </c>
      <c r="U88" s="78">
        <f t="shared" si="127"/>
        <v>0</v>
      </c>
      <c r="V88" s="78">
        <f t="shared" si="127"/>
        <v>0</v>
      </c>
      <c r="W88" s="78">
        <f t="shared" si="127"/>
        <v>0</v>
      </c>
      <c r="X88" s="78">
        <f t="shared" si="127"/>
        <v>0</v>
      </c>
      <c r="Y88" s="78">
        <f t="shared" si="97"/>
        <v>870227.37</v>
      </c>
      <c r="Z88" s="113">
        <f t="shared" si="111"/>
        <v>870227.37</v>
      </c>
      <c r="AA88" s="78">
        <f>SUM(AA89:AA90)</f>
        <v>0</v>
      </c>
      <c r="AB88" s="131">
        <f>AA88/J88</f>
        <v>0</v>
      </c>
      <c r="AC88" s="78">
        <f>SUM(AC89:AC90)</f>
        <v>870227.37</v>
      </c>
      <c r="AD88" s="73">
        <f t="shared" si="103"/>
        <v>0.31286553757469371</v>
      </c>
      <c r="AE88" s="136">
        <f>SUM(AE89:AE90)</f>
        <v>0</v>
      </c>
      <c r="AF88" s="166">
        <f t="shared" si="119"/>
        <v>3.7523999810218811E-2</v>
      </c>
      <c r="AG88" s="167">
        <f t="shared" si="104"/>
        <v>1.3490688499692687E-8</v>
      </c>
      <c r="AH88" s="120"/>
      <c r="AI88" s="82"/>
      <c r="AJ88" s="238" t="s">
        <v>409</v>
      </c>
      <c r="AK88" s="348">
        <v>0</v>
      </c>
      <c r="AL88" s="348">
        <v>0</v>
      </c>
      <c r="AM88" s="125">
        <v>0</v>
      </c>
      <c r="AN88" s="82"/>
      <c r="AO88" s="348">
        <v>0</v>
      </c>
      <c r="AP88" s="120"/>
      <c r="AQ88" s="120"/>
      <c r="AR88" s="125">
        <f t="shared" si="120"/>
        <v>0</v>
      </c>
      <c r="AS88" s="120"/>
      <c r="AT88" s="120"/>
      <c r="AU88" s="382"/>
      <c r="AV88" s="256"/>
    </row>
    <row r="89" spans="1:51" ht="84" customHeight="1">
      <c r="A89" s="375" t="s">
        <v>49</v>
      </c>
      <c r="B89" s="69" t="s">
        <v>514</v>
      </c>
      <c r="C89" s="70" t="s">
        <v>0</v>
      </c>
      <c r="D89" s="70" t="s">
        <v>157</v>
      </c>
      <c r="E89" s="70"/>
      <c r="F89" s="348">
        <v>2781474</v>
      </c>
      <c r="G89" s="348"/>
      <c r="H89" s="348">
        <v>2781474</v>
      </c>
      <c r="I89" s="348"/>
      <c r="J89" s="348">
        <v>2781474.0375239998</v>
      </c>
      <c r="K89" s="348">
        <v>2781474.0375239998</v>
      </c>
      <c r="L89" s="348">
        <v>2781474</v>
      </c>
      <c r="M89" s="125">
        <f t="shared" ref="M89:M91" si="128">L89/J89</f>
        <v>0.99999998650931154</v>
      </c>
      <c r="N89" s="348"/>
      <c r="O89" s="127">
        <f t="shared" si="96"/>
        <v>0</v>
      </c>
      <c r="P89" s="348">
        <v>2781474</v>
      </c>
      <c r="Q89" s="73">
        <f t="shared" si="100"/>
        <v>0.99999998650931154</v>
      </c>
      <c r="R89" s="76">
        <f>P89</f>
        <v>2781474</v>
      </c>
      <c r="S89" s="73">
        <f t="shared" si="101"/>
        <v>0.99999998650931154</v>
      </c>
      <c r="T89" s="76">
        <v>870227.37</v>
      </c>
      <c r="U89" s="76">
        <v>0</v>
      </c>
      <c r="V89" s="76">
        <v>0</v>
      </c>
      <c r="W89" s="76">
        <v>0</v>
      </c>
      <c r="X89" s="76">
        <v>0</v>
      </c>
      <c r="Y89" s="76">
        <f t="shared" si="97"/>
        <v>870227.37</v>
      </c>
      <c r="Z89" s="77">
        <f t="shared" si="111"/>
        <v>870227.37</v>
      </c>
      <c r="AA89" s="77"/>
      <c r="AB89" s="125"/>
      <c r="AC89" s="77">
        <f>SUM(T89:V89)</f>
        <v>870227.37</v>
      </c>
      <c r="AD89" s="73">
        <f t="shared" si="103"/>
        <v>0.31286553757469371</v>
      </c>
      <c r="AE89" s="125">
        <v>0</v>
      </c>
      <c r="AF89" s="166">
        <f t="shared" si="119"/>
        <v>3.7523999810218811E-2</v>
      </c>
      <c r="AG89" s="167">
        <f t="shared" si="104"/>
        <v>1.3490688499692687E-8</v>
      </c>
      <c r="AH89" s="120"/>
      <c r="AI89" s="82"/>
      <c r="AJ89" s="238" t="s">
        <v>409</v>
      </c>
      <c r="AK89" s="348">
        <v>0</v>
      </c>
      <c r="AL89" s="348">
        <v>0</v>
      </c>
      <c r="AM89" s="125">
        <v>0</v>
      </c>
      <c r="AN89" s="82"/>
      <c r="AO89" s="348">
        <v>0</v>
      </c>
      <c r="AP89" s="120"/>
      <c r="AQ89" s="120"/>
      <c r="AR89" s="125">
        <f t="shared" si="120"/>
        <v>0</v>
      </c>
      <c r="AS89" s="120"/>
      <c r="AT89" s="120"/>
      <c r="AU89" s="382"/>
      <c r="AV89" s="256"/>
      <c r="AW89" s="42"/>
      <c r="AX89" s="42"/>
      <c r="AY89" s="42"/>
    </row>
    <row r="90" spans="1:51" ht="33.6" customHeight="1">
      <c r="A90" s="375" t="s">
        <v>50</v>
      </c>
      <c r="B90" s="69" t="s">
        <v>515</v>
      </c>
      <c r="C90" s="70" t="s">
        <v>0</v>
      </c>
      <c r="D90" s="70" t="s">
        <v>686</v>
      </c>
      <c r="E90" s="70"/>
      <c r="F90" s="348">
        <v>0</v>
      </c>
      <c r="G90" s="348"/>
      <c r="H90" s="348">
        <v>0</v>
      </c>
      <c r="I90" s="348"/>
      <c r="J90" s="348">
        <v>0</v>
      </c>
      <c r="K90" s="348">
        <v>0</v>
      </c>
      <c r="L90" s="348"/>
      <c r="M90" s="125" t="e">
        <f t="shared" si="128"/>
        <v>#DIV/0!</v>
      </c>
      <c r="N90" s="348"/>
      <c r="O90" s="127"/>
      <c r="P90" s="348">
        <v>0</v>
      </c>
      <c r="Q90" s="73"/>
      <c r="R90" s="76">
        <v>0</v>
      </c>
      <c r="S90" s="73"/>
      <c r="T90" s="109">
        <v>0</v>
      </c>
      <c r="U90" s="109">
        <v>0</v>
      </c>
      <c r="V90" s="109">
        <v>0</v>
      </c>
      <c r="W90" s="76">
        <v>0</v>
      </c>
      <c r="X90" s="76">
        <v>0</v>
      </c>
      <c r="Y90" s="76">
        <f t="shared" si="97"/>
        <v>0</v>
      </c>
      <c r="Z90" s="77">
        <f t="shared" si="111"/>
        <v>0</v>
      </c>
      <c r="AA90" s="77"/>
      <c r="AB90" s="125"/>
      <c r="AC90" s="77">
        <f t="shared" ref="AC90:AC91" si="129">SUM(T90:V90)</f>
        <v>0</v>
      </c>
      <c r="AD90" s="73"/>
      <c r="AE90" s="125"/>
      <c r="AF90" s="125"/>
      <c r="AG90" s="167">
        <v>0</v>
      </c>
      <c r="AH90" s="120"/>
      <c r="AI90" s="82"/>
      <c r="AJ90" s="238" t="s">
        <v>409</v>
      </c>
      <c r="AK90" s="348">
        <v>0</v>
      </c>
      <c r="AL90" s="348">
        <v>0</v>
      </c>
      <c r="AM90" s="125">
        <v>0</v>
      </c>
      <c r="AN90" s="82"/>
      <c r="AO90" s="348">
        <v>0</v>
      </c>
      <c r="AP90" s="120"/>
      <c r="AQ90" s="120"/>
      <c r="AR90" s="125" t="e">
        <f t="shared" si="120"/>
        <v>#DIV/0!</v>
      </c>
      <c r="AS90" s="120"/>
      <c r="AT90" s="120"/>
      <c r="AU90" s="382"/>
      <c r="AV90" s="256"/>
      <c r="AW90" s="42"/>
      <c r="AX90" s="42"/>
      <c r="AY90" s="42"/>
    </row>
    <row r="91" spans="1:51" ht="203.45" customHeight="1">
      <c r="A91" s="375" t="s">
        <v>51</v>
      </c>
      <c r="B91" s="69" t="s">
        <v>516</v>
      </c>
      <c r="C91" s="70" t="s">
        <v>0</v>
      </c>
      <c r="D91" s="70" t="s">
        <v>686</v>
      </c>
      <c r="E91" s="70"/>
      <c r="F91" s="348">
        <v>1761645</v>
      </c>
      <c r="G91" s="348"/>
      <c r="H91" s="348">
        <v>1761645</v>
      </c>
      <c r="I91" s="348"/>
      <c r="J91" s="348">
        <v>1761645</v>
      </c>
      <c r="K91" s="348">
        <v>2072523</v>
      </c>
      <c r="L91" s="348">
        <v>1756117</v>
      </c>
      <c r="M91" s="125">
        <f t="shared" si="128"/>
        <v>0.99686202384702938</v>
      </c>
      <c r="N91" s="348"/>
      <c r="O91" s="127">
        <f t="shared" si="96"/>
        <v>0</v>
      </c>
      <c r="P91" s="348">
        <v>1756117</v>
      </c>
      <c r="Q91" s="67">
        <f t="shared" ref="Q91:Q118" si="130">P91/J91</f>
        <v>0.99686202384702938</v>
      </c>
      <c r="R91" s="76">
        <v>1756117</v>
      </c>
      <c r="S91" s="73">
        <f t="shared" ref="S91:S118" si="131">R91/J91</f>
        <v>0.99686202384702938</v>
      </c>
      <c r="T91" s="76">
        <v>609798.68000000005</v>
      </c>
      <c r="U91" s="76">
        <v>0</v>
      </c>
      <c r="V91" s="76">
        <v>0</v>
      </c>
      <c r="W91" s="76">
        <v>0</v>
      </c>
      <c r="X91" s="76">
        <v>0</v>
      </c>
      <c r="Y91" s="76">
        <f t="shared" si="97"/>
        <v>609798.68000000005</v>
      </c>
      <c r="Z91" s="77">
        <f t="shared" si="111"/>
        <v>609798.68000000005</v>
      </c>
      <c r="AA91" s="77"/>
      <c r="AB91" s="125"/>
      <c r="AC91" s="77">
        <f t="shared" si="129"/>
        <v>609798.68000000005</v>
      </c>
      <c r="AD91" s="67">
        <f t="shared" ref="AD91:AD95" si="132">AC91/J91</f>
        <v>0.34615298769048253</v>
      </c>
      <c r="AE91" s="125">
        <v>0</v>
      </c>
      <c r="AF91" s="166">
        <f t="shared" ref="AF91:AF127" si="133">J91-R91</f>
        <v>5528</v>
      </c>
      <c r="AG91" s="167">
        <f t="shared" ref="AG91:AG118" si="134">AF91/J91</f>
        <v>3.1379761529706611E-3</v>
      </c>
      <c r="AH91" s="160" t="s">
        <v>398</v>
      </c>
      <c r="AI91" s="221"/>
      <c r="AJ91" s="238" t="s">
        <v>409</v>
      </c>
      <c r="AK91" s="348">
        <v>0</v>
      </c>
      <c r="AL91" s="348">
        <v>0</v>
      </c>
      <c r="AM91" s="125">
        <v>0</v>
      </c>
      <c r="AN91" s="82"/>
      <c r="AO91" s="348">
        <v>0</v>
      </c>
      <c r="AP91" s="120"/>
      <c r="AQ91" s="120"/>
      <c r="AR91" s="125">
        <f t="shared" si="120"/>
        <v>0</v>
      </c>
      <c r="AS91" s="120"/>
      <c r="AT91" s="120"/>
      <c r="AU91" s="382"/>
      <c r="AV91" s="256"/>
      <c r="AW91" s="42"/>
      <c r="AX91" s="42"/>
      <c r="AY91" s="42"/>
    </row>
    <row r="92" spans="1:51" s="50" customFormat="1" ht="67.150000000000006" customHeight="1">
      <c r="A92" s="381" t="s">
        <v>52</v>
      </c>
      <c r="B92" s="74" t="s">
        <v>517</v>
      </c>
      <c r="C92" s="75" t="s">
        <v>0</v>
      </c>
      <c r="D92" s="75" t="s">
        <v>686</v>
      </c>
      <c r="E92" s="75"/>
      <c r="F92" s="348">
        <f>SUM(F93:F94)</f>
        <v>791686.21627199999</v>
      </c>
      <c r="G92" s="348"/>
      <c r="H92" s="348">
        <f>SUM(H93:H94)</f>
        <v>791686.21627199999</v>
      </c>
      <c r="I92" s="348"/>
      <c r="J92" s="348">
        <f>SUM(J93:J94)</f>
        <v>791686.21627199999</v>
      </c>
      <c r="K92" s="348">
        <f>SUM(K93:K94)</f>
        <v>932158</v>
      </c>
      <c r="L92" s="348">
        <f t="shared" ref="L92:N92" si="135">SUM(L93:L94)</f>
        <v>1713503.5899999999</v>
      </c>
      <c r="M92" s="125">
        <f>L92/J92</f>
        <v>2.1643721398469955</v>
      </c>
      <c r="N92" s="348">
        <f t="shared" si="135"/>
        <v>795444.83000000007</v>
      </c>
      <c r="O92" s="127">
        <f t="shared" si="96"/>
        <v>1.0047476053652913</v>
      </c>
      <c r="P92" s="348">
        <f>SUM(P93:P94)</f>
        <v>742290.69</v>
      </c>
      <c r="Q92" s="73">
        <f t="shared" si="130"/>
        <v>0.93760719176771767</v>
      </c>
      <c r="R92" s="348">
        <f>SUM(R93:R94)</f>
        <v>742290.69</v>
      </c>
      <c r="S92" s="73">
        <f t="shared" si="131"/>
        <v>0.93760719176771767</v>
      </c>
      <c r="T92" s="78">
        <f t="shared" ref="T92:X92" si="136">SUM(T93:T94)</f>
        <v>658565.55000000005</v>
      </c>
      <c r="U92" s="78">
        <f t="shared" si="136"/>
        <v>0</v>
      </c>
      <c r="V92" s="78">
        <f t="shared" si="136"/>
        <v>57811.66</v>
      </c>
      <c r="W92" s="78">
        <f t="shared" si="136"/>
        <v>55404.149999999907</v>
      </c>
      <c r="X92" s="78">
        <f t="shared" si="136"/>
        <v>3774.6</v>
      </c>
      <c r="Y92" s="78">
        <f t="shared" si="97"/>
        <v>712602.61</v>
      </c>
      <c r="Z92" s="113">
        <f t="shared" si="111"/>
        <v>713969.7</v>
      </c>
      <c r="AA92" s="348">
        <f>SUM(AA93:AA94)</f>
        <v>175768.07</v>
      </c>
      <c r="AB92" s="131">
        <f>AA92/J92</f>
        <v>0.22201734271398668</v>
      </c>
      <c r="AC92" s="348">
        <f>SUM(AC93:AC94)</f>
        <v>716377.21</v>
      </c>
      <c r="AD92" s="73">
        <f t="shared" si="132"/>
        <v>0.90487518321763216</v>
      </c>
      <c r="AE92" s="125">
        <f>SUM(AE93:AE94)</f>
        <v>5.4538356338053361E-3</v>
      </c>
      <c r="AF92" s="166">
        <f t="shared" si="133"/>
        <v>49395.526272000046</v>
      </c>
      <c r="AG92" s="167">
        <f t="shared" si="134"/>
        <v>6.2392808232282278E-2</v>
      </c>
      <c r="AH92" s="120"/>
      <c r="AI92" s="82"/>
      <c r="AJ92" s="238" t="s">
        <v>409</v>
      </c>
      <c r="AK92" s="348">
        <v>0</v>
      </c>
      <c r="AL92" s="348">
        <v>0</v>
      </c>
      <c r="AM92" s="125">
        <v>0</v>
      </c>
      <c r="AN92" s="82"/>
      <c r="AO92" s="348">
        <v>0</v>
      </c>
      <c r="AP92" s="120"/>
      <c r="AQ92" s="120"/>
      <c r="AR92" s="125">
        <f t="shared" si="120"/>
        <v>0</v>
      </c>
      <c r="AS92" s="120"/>
      <c r="AT92" s="120"/>
      <c r="AU92" s="382"/>
      <c r="AV92" s="256"/>
    </row>
    <row r="93" spans="1:51" ht="125.45" customHeight="1">
      <c r="A93" s="375" t="s">
        <v>257</v>
      </c>
      <c r="B93" s="69" t="s">
        <v>518</v>
      </c>
      <c r="C93" s="70" t="s">
        <v>0</v>
      </c>
      <c r="D93" s="70" t="s">
        <v>686</v>
      </c>
      <c r="E93" s="70"/>
      <c r="F93" s="348">
        <v>347835.972504</v>
      </c>
      <c r="G93" s="348"/>
      <c r="H93" s="348">
        <v>347835.972504</v>
      </c>
      <c r="I93" s="348"/>
      <c r="J93" s="348">
        <v>347835.972504</v>
      </c>
      <c r="K93" s="348">
        <v>409219</v>
      </c>
      <c r="L93" s="348">
        <v>643916.92000000004</v>
      </c>
      <c r="M93" s="125">
        <f t="shared" ref="M93:M94" si="137">L93/J93</f>
        <v>1.8512085318967266</v>
      </c>
      <c r="N93" s="348">
        <v>127045.55</v>
      </c>
      <c r="O93" s="127">
        <f t="shared" si="96"/>
        <v>0.36524557562412269</v>
      </c>
      <c r="P93" s="348">
        <v>341103.3</v>
      </c>
      <c r="Q93" s="73">
        <f t="shared" si="130"/>
        <v>0.9806441166635731</v>
      </c>
      <c r="R93" s="76">
        <v>341103.3</v>
      </c>
      <c r="S93" s="73">
        <f t="shared" si="131"/>
        <v>0.9806441166635731</v>
      </c>
      <c r="T93" s="76">
        <v>315151.14</v>
      </c>
      <c r="U93" s="76">
        <v>0</v>
      </c>
      <c r="V93" s="76">
        <v>26366.92</v>
      </c>
      <c r="W93" s="76">
        <v>25952.159999999902</v>
      </c>
      <c r="X93" s="76">
        <v>414.77</v>
      </c>
      <c r="Y93" s="76">
        <f t="shared" si="97"/>
        <v>341103.29</v>
      </c>
      <c r="Z93" s="77">
        <f t="shared" si="111"/>
        <v>341103.29999999993</v>
      </c>
      <c r="AA93" s="77">
        <v>175768.07</v>
      </c>
      <c r="AB93" s="131">
        <f>AA93/J93</f>
        <v>0.50531883960903079</v>
      </c>
      <c r="AC93" s="77">
        <f t="shared" ref="AC93" si="138">SUM(T93:V93)</f>
        <v>341518.06</v>
      </c>
      <c r="AD93" s="73">
        <f t="shared" si="132"/>
        <v>0.98183651777440195</v>
      </c>
      <c r="AE93" s="125">
        <v>5.48486842272292E-4</v>
      </c>
      <c r="AF93" s="166">
        <f t="shared" si="133"/>
        <v>6732.6725040000165</v>
      </c>
      <c r="AG93" s="167">
        <f t="shared" si="134"/>
        <v>1.9355883336426894E-2</v>
      </c>
      <c r="AH93" s="161" t="s">
        <v>399</v>
      </c>
      <c r="AI93" s="221"/>
      <c r="AJ93" s="238" t="s">
        <v>409</v>
      </c>
      <c r="AK93" s="348">
        <v>0</v>
      </c>
      <c r="AL93" s="348">
        <v>0</v>
      </c>
      <c r="AM93" s="125">
        <v>0</v>
      </c>
      <c r="AN93" s="82"/>
      <c r="AO93" s="348">
        <v>0</v>
      </c>
      <c r="AP93" s="120"/>
      <c r="AQ93" s="120"/>
      <c r="AR93" s="125">
        <f t="shared" si="120"/>
        <v>0</v>
      </c>
      <c r="AS93" s="120"/>
      <c r="AT93" s="120"/>
      <c r="AU93" s="382"/>
      <c r="AV93" s="256"/>
      <c r="AW93" s="42"/>
      <c r="AX93" s="42"/>
      <c r="AY93" s="42"/>
    </row>
    <row r="94" spans="1:51" ht="187.9" customHeight="1">
      <c r="A94" s="375" t="s">
        <v>256</v>
      </c>
      <c r="B94" s="69" t="s">
        <v>519</v>
      </c>
      <c r="C94" s="70" t="s">
        <v>0</v>
      </c>
      <c r="D94" s="70" t="s">
        <v>686</v>
      </c>
      <c r="E94" s="70"/>
      <c r="F94" s="348">
        <v>443850.24376799999</v>
      </c>
      <c r="G94" s="348"/>
      <c r="H94" s="348">
        <v>443850.24376799999</v>
      </c>
      <c r="I94" s="348"/>
      <c r="J94" s="348">
        <v>443850.24376799999</v>
      </c>
      <c r="K94" s="348">
        <v>522939</v>
      </c>
      <c r="L94" s="348">
        <v>1069586.67</v>
      </c>
      <c r="M94" s="125">
        <f t="shared" si="137"/>
        <v>2.4097917822910371</v>
      </c>
      <c r="N94" s="348">
        <v>668399.28</v>
      </c>
      <c r="O94" s="127">
        <f t="shared" si="96"/>
        <v>1.5059117109539577</v>
      </c>
      <c r="P94" s="348">
        <v>401187.39</v>
      </c>
      <c r="Q94" s="73">
        <f t="shared" si="130"/>
        <v>0.90388007133707959</v>
      </c>
      <c r="R94" s="348">
        <v>401187.39</v>
      </c>
      <c r="S94" s="73">
        <f t="shared" si="131"/>
        <v>0.90388007133707959</v>
      </c>
      <c r="T94" s="76">
        <v>343414.41</v>
      </c>
      <c r="U94" s="76">
        <v>0</v>
      </c>
      <c r="V94" s="76">
        <v>31444.74</v>
      </c>
      <c r="W94" s="76">
        <v>29451.99</v>
      </c>
      <c r="X94" s="76">
        <v>3359.83</v>
      </c>
      <c r="Y94" s="76">
        <f t="shared" si="97"/>
        <v>371499.31999999995</v>
      </c>
      <c r="Z94" s="77">
        <f t="shared" si="111"/>
        <v>372866.39999999997</v>
      </c>
      <c r="AA94" s="77"/>
      <c r="AB94" s="125"/>
      <c r="AC94" s="77">
        <f>SUM(T94:V94)</f>
        <v>374859.14999999997</v>
      </c>
      <c r="AD94" s="73">
        <f t="shared" si="132"/>
        <v>0.84456222625381372</v>
      </c>
      <c r="AE94" s="125">
        <v>4.9053487915330443E-3</v>
      </c>
      <c r="AF94" s="166">
        <f t="shared" si="133"/>
        <v>42662.853767999972</v>
      </c>
      <c r="AG94" s="167">
        <f t="shared" si="134"/>
        <v>9.6119928662920365E-2</v>
      </c>
      <c r="AH94" s="161" t="s">
        <v>400</v>
      </c>
      <c r="AI94" s="221"/>
      <c r="AJ94" s="238" t="s">
        <v>409</v>
      </c>
      <c r="AK94" s="348">
        <v>0</v>
      </c>
      <c r="AL94" s="348">
        <v>0</v>
      </c>
      <c r="AM94" s="125">
        <v>0</v>
      </c>
      <c r="AN94" s="82"/>
      <c r="AO94" s="348">
        <v>0</v>
      </c>
      <c r="AP94" s="120"/>
      <c r="AQ94" s="120"/>
      <c r="AR94" s="125">
        <f t="shared" si="120"/>
        <v>0</v>
      </c>
      <c r="AS94" s="120"/>
      <c r="AT94" s="120"/>
      <c r="AU94" s="382"/>
      <c r="AV94" s="256"/>
      <c r="AW94" s="42"/>
      <c r="AX94" s="42"/>
      <c r="AY94" s="42"/>
    </row>
    <row r="95" spans="1:51" s="50" customFormat="1" ht="33.6" customHeight="1">
      <c r="A95" s="373" t="s">
        <v>53</v>
      </c>
      <c r="B95" s="64" t="s">
        <v>520</v>
      </c>
      <c r="C95" s="65" t="s">
        <v>0</v>
      </c>
      <c r="D95" s="65" t="s">
        <v>686</v>
      </c>
      <c r="E95" s="65"/>
      <c r="F95" s="347">
        <f>F96+F97</f>
        <v>5726374.9420360001</v>
      </c>
      <c r="G95" s="347"/>
      <c r="H95" s="347">
        <f>H96+H97</f>
        <v>5726374.9420360001</v>
      </c>
      <c r="I95" s="347"/>
      <c r="J95" s="347">
        <f>J96+J97</f>
        <v>5726374.9420360001</v>
      </c>
      <c r="K95" s="347">
        <f>K96+K97</f>
        <v>6072762</v>
      </c>
      <c r="L95" s="347">
        <f t="shared" ref="L95:N95" si="139">L96+L97</f>
        <v>13879648.4</v>
      </c>
      <c r="M95" s="124">
        <f t="shared" si="139"/>
        <v>35.911365915125621</v>
      </c>
      <c r="N95" s="347">
        <f t="shared" si="139"/>
        <v>7089131.6399999997</v>
      </c>
      <c r="O95" s="121">
        <f t="shared" si="96"/>
        <v>1.237978950340872</v>
      </c>
      <c r="P95" s="66">
        <f>P96+P97</f>
        <v>4958312.4400000004</v>
      </c>
      <c r="Q95" s="67">
        <f t="shared" si="130"/>
        <v>0.86587282359074502</v>
      </c>
      <c r="R95" s="66">
        <f>R96+R97</f>
        <v>4350002.1500000004</v>
      </c>
      <c r="S95" s="67">
        <f t="shared" si="131"/>
        <v>0.7596432636758792</v>
      </c>
      <c r="T95" s="66">
        <f t="shared" ref="T95:X95" si="140">T96+T97</f>
        <v>1497606.3</v>
      </c>
      <c r="U95" s="66">
        <f t="shared" si="140"/>
        <v>0</v>
      </c>
      <c r="V95" s="66">
        <f t="shared" si="140"/>
        <v>754144.47</v>
      </c>
      <c r="W95" s="66">
        <f t="shared" si="140"/>
        <v>240118.59000000011</v>
      </c>
      <c r="X95" s="66">
        <f t="shared" si="140"/>
        <v>10731.33</v>
      </c>
      <c r="Y95" s="66">
        <f t="shared" si="97"/>
        <v>2241019.4400000004</v>
      </c>
      <c r="Z95" s="66">
        <f t="shared" si="111"/>
        <v>1737724.8900000001</v>
      </c>
      <c r="AA95" s="66">
        <f>AA96+AA97</f>
        <v>1863190.1900000002</v>
      </c>
      <c r="AB95" s="133"/>
      <c r="AC95" s="66">
        <f>AC96+AC97</f>
        <v>2251750.7700000005</v>
      </c>
      <c r="AD95" s="67">
        <f t="shared" si="132"/>
        <v>0.39322447321261073</v>
      </c>
      <c r="AE95" s="133"/>
      <c r="AF95" s="168">
        <f t="shared" si="133"/>
        <v>1376372.7920359997</v>
      </c>
      <c r="AG95" s="57">
        <f t="shared" si="134"/>
        <v>0.24035673632412086</v>
      </c>
      <c r="AH95" s="119"/>
      <c r="AI95" s="217"/>
      <c r="AJ95" s="237" t="s">
        <v>409</v>
      </c>
      <c r="AK95" s="347">
        <f>AK96+AK97</f>
        <v>0</v>
      </c>
      <c r="AL95" s="347">
        <f>AL96+AL97</f>
        <v>0</v>
      </c>
      <c r="AM95" s="193">
        <v>0</v>
      </c>
      <c r="AN95" s="86"/>
      <c r="AO95" s="194">
        <v>0</v>
      </c>
      <c r="AP95" s="347">
        <f>AP96+AP97</f>
        <v>0</v>
      </c>
      <c r="AQ95" s="347">
        <f>AQ96+AQ97</f>
        <v>0</v>
      </c>
      <c r="AR95" s="193">
        <f t="shared" si="120"/>
        <v>0</v>
      </c>
      <c r="AS95" s="119"/>
      <c r="AT95" s="119"/>
      <c r="AU95" s="388"/>
      <c r="AV95" s="259"/>
    </row>
    <row r="96" spans="1:51" ht="109.9" customHeight="1">
      <c r="A96" s="375" t="s">
        <v>232</v>
      </c>
      <c r="B96" s="69" t="s">
        <v>521</v>
      </c>
      <c r="C96" s="70" t="s">
        <v>0</v>
      </c>
      <c r="D96" s="70" t="s">
        <v>686</v>
      </c>
      <c r="E96" s="70"/>
      <c r="F96" s="348">
        <v>55302</v>
      </c>
      <c r="G96" s="348"/>
      <c r="H96" s="348">
        <v>55302</v>
      </c>
      <c r="I96" s="348"/>
      <c r="J96" s="348">
        <v>55302</v>
      </c>
      <c r="K96" s="348">
        <v>65061</v>
      </c>
      <c r="L96" s="348">
        <v>1868845.89</v>
      </c>
      <c r="M96" s="125">
        <f>L96/J96</f>
        <v>33.793459368558096</v>
      </c>
      <c r="N96" s="348"/>
      <c r="O96" s="127">
        <f t="shared" si="96"/>
        <v>0</v>
      </c>
      <c r="P96" s="348">
        <v>51383.03</v>
      </c>
      <c r="Q96" s="73">
        <f t="shared" si="130"/>
        <v>0.92913511265415349</v>
      </c>
      <c r="R96" s="76">
        <v>51383.03</v>
      </c>
      <c r="S96" s="73">
        <f t="shared" si="131"/>
        <v>0.92913511265415349</v>
      </c>
      <c r="T96" s="76">
        <v>60434.93</v>
      </c>
      <c r="U96" s="76">
        <v>0</v>
      </c>
      <c r="V96" s="76">
        <v>0</v>
      </c>
      <c r="W96" s="76">
        <v>0</v>
      </c>
      <c r="X96" s="76">
        <v>3918.81</v>
      </c>
      <c r="Y96" s="76">
        <f t="shared" si="97"/>
        <v>56516.12</v>
      </c>
      <c r="Z96" s="77">
        <f t="shared" si="111"/>
        <v>60434.93</v>
      </c>
      <c r="AA96" s="77">
        <v>1817462.86</v>
      </c>
      <c r="AB96" s="125"/>
      <c r="AC96" s="77">
        <f>SUM(T96:V96)</f>
        <v>60434.93</v>
      </c>
      <c r="AD96" s="73">
        <f>AC96/J96</f>
        <v>1.0928163538389208</v>
      </c>
      <c r="AE96" s="125">
        <v>0</v>
      </c>
      <c r="AF96" s="169">
        <f t="shared" si="133"/>
        <v>3918.9700000000012</v>
      </c>
      <c r="AG96" s="167">
        <f t="shared" si="134"/>
        <v>7.0864887345846464E-2</v>
      </c>
      <c r="AH96" s="161" t="s">
        <v>426</v>
      </c>
      <c r="AI96" s="221"/>
      <c r="AJ96" s="238" t="s">
        <v>409</v>
      </c>
      <c r="AK96" s="348">
        <v>0</v>
      </c>
      <c r="AL96" s="348">
        <v>0</v>
      </c>
      <c r="AM96" s="125">
        <v>0</v>
      </c>
      <c r="AN96" s="82"/>
      <c r="AO96" s="348">
        <v>0</v>
      </c>
      <c r="AP96" s="120"/>
      <c r="AQ96" s="120"/>
      <c r="AR96" s="125">
        <f t="shared" si="120"/>
        <v>0</v>
      </c>
      <c r="AS96" s="120"/>
      <c r="AT96" s="120"/>
      <c r="AU96" s="382"/>
      <c r="AV96" s="256"/>
      <c r="AW96" s="42"/>
      <c r="AX96" s="42"/>
      <c r="AY96" s="42"/>
    </row>
    <row r="97" spans="1:51" s="50" customFormat="1" ht="67.150000000000006" customHeight="1">
      <c r="A97" s="381" t="s">
        <v>54</v>
      </c>
      <c r="B97" s="74" t="s">
        <v>522</v>
      </c>
      <c r="C97" s="75" t="s">
        <v>0</v>
      </c>
      <c r="D97" s="75" t="s">
        <v>686</v>
      </c>
      <c r="E97" s="75"/>
      <c r="F97" s="348">
        <f>SUM(F98:F100)</f>
        <v>5671072.9420360001</v>
      </c>
      <c r="G97" s="348"/>
      <c r="H97" s="348">
        <f>SUM(H98:H100)</f>
        <v>5671072.9420360001</v>
      </c>
      <c r="I97" s="348"/>
      <c r="J97" s="348">
        <f>SUM(J98:J100)</f>
        <v>5671072.9420360001</v>
      </c>
      <c r="K97" s="348">
        <f>SUM(K98:K100)</f>
        <v>6007701</v>
      </c>
      <c r="L97" s="348">
        <f t="shared" ref="L97:N97" si="141">SUM(L98:L100)</f>
        <v>12010802.51</v>
      </c>
      <c r="M97" s="125">
        <f>L97/J97</f>
        <v>2.1179065465675251</v>
      </c>
      <c r="N97" s="348">
        <f t="shared" si="141"/>
        <v>7089131.6399999997</v>
      </c>
      <c r="O97" s="127">
        <f t="shared" si="96"/>
        <v>1.2500512182541061</v>
      </c>
      <c r="P97" s="348">
        <f>SUM(P98:P100)</f>
        <v>4906929.41</v>
      </c>
      <c r="Q97" s="73">
        <f t="shared" si="130"/>
        <v>0.86525591544205016</v>
      </c>
      <c r="R97" s="348">
        <f>SUM(R98:R100)</f>
        <v>4298619.12</v>
      </c>
      <c r="S97" s="73">
        <f t="shared" si="131"/>
        <v>0.75799044800448845</v>
      </c>
      <c r="T97" s="78">
        <f t="shared" ref="T97:X97" si="142">SUM(T98:T100)</f>
        <v>1437171.37</v>
      </c>
      <c r="U97" s="78">
        <f t="shared" si="142"/>
        <v>0</v>
      </c>
      <c r="V97" s="78">
        <f t="shared" si="142"/>
        <v>754144.47</v>
      </c>
      <c r="W97" s="78">
        <f t="shared" si="142"/>
        <v>240118.59000000011</v>
      </c>
      <c r="X97" s="78">
        <f t="shared" si="142"/>
        <v>6812.52</v>
      </c>
      <c r="Y97" s="78">
        <f t="shared" si="97"/>
        <v>2184503.3200000003</v>
      </c>
      <c r="Z97" s="113">
        <f t="shared" si="111"/>
        <v>1677289.9600000002</v>
      </c>
      <c r="AA97" s="348">
        <f>SUM(AA98:AA100)</f>
        <v>45727.33</v>
      </c>
      <c r="AB97" s="131"/>
      <c r="AC97" s="348">
        <f>SUM(AC98:AC100)</f>
        <v>2191315.8400000003</v>
      </c>
      <c r="AD97" s="73">
        <f t="shared" ref="AD97" si="143">SUM(AD98:AD100)</f>
        <v>1.1446463259684101</v>
      </c>
      <c r="AE97" s="125"/>
      <c r="AF97" s="166">
        <f t="shared" si="133"/>
        <v>1372453.822036</v>
      </c>
      <c r="AG97" s="167">
        <f t="shared" si="134"/>
        <v>0.24200955199551155</v>
      </c>
      <c r="AH97" s="120"/>
      <c r="AI97" s="82"/>
      <c r="AJ97" s="238" t="s">
        <v>409</v>
      </c>
      <c r="AK97" s="348">
        <v>0</v>
      </c>
      <c r="AL97" s="348">
        <v>0</v>
      </c>
      <c r="AM97" s="125">
        <v>0</v>
      </c>
      <c r="AN97" s="82"/>
      <c r="AO97" s="348">
        <v>0</v>
      </c>
      <c r="AP97" s="120"/>
      <c r="AQ97" s="120"/>
      <c r="AR97" s="125">
        <f t="shared" si="120"/>
        <v>0</v>
      </c>
      <c r="AS97" s="120"/>
      <c r="AT97" s="120"/>
      <c r="AU97" s="382"/>
      <c r="AV97" s="256"/>
    </row>
    <row r="98" spans="1:51" ht="203.45" customHeight="1">
      <c r="A98" s="375" t="s">
        <v>180</v>
      </c>
      <c r="B98" s="69" t="s">
        <v>523</v>
      </c>
      <c r="C98" s="70" t="s">
        <v>0</v>
      </c>
      <c r="D98" s="70" t="s">
        <v>686</v>
      </c>
      <c r="E98" s="70"/>
      <c r="F98" s="348">
        <v>1907556.9420360001</v>
      </c>
      <c r="G98" s="348"/>
      <c r="H98" s="348">
        <v>1907556.9420360001</v>
      </c>
      <c r="I98" s="348"/>
      <c r="J98" s="348">
        <v>1907556.9420359998</v>
      </c>
      <c r="K98" s="348">
        <v>2244185</v>
      </c>
      <c r="L98" s="348">
        <v>2927557.23</v>
      </c>
      <c r="M98" s="125">
        <f t="shared" ref="M98:M151" si="144">L98/J98</f>
        <v>1.5347155125420893</v>
      </c>
      <c r="N98" s="348">
        <v>1020000</v>
      </c>
      <c r="O98" s="127">
        <f t="shared" si="96"/>
        <v>0.53471536158250643</v>
      </c>
      <c r="P98" s="348">
        <v>1907557.23</v>
      </c>
      <c r="Q98" s="73">
        <f t="shared" si="130"/>
        <v>1.0000001509595828</v>
      </c>
      <c r="R98" s="76">
        <v>1907557.23</v>
      </c>
      <c r="S98" s="73">
        <f t="shared" si="131"/>
        <v>1.0000001509595828</v>
      </c>
      <c r="T98" s="76">
        <v>693244.98</v>
      </c>
      <c r="U98" s="76">
        <v>0</v>
      </c>
      <c r="V98" s="76">
        <v>279309.62</v>
      </c>
      <c r="W98" s="76">
        <v>74153.960000000006</v>
      </c>
      <c r="X98" s="76">
        <v>0</v>
      </c>
      <c r="Y98" s="76">
        <f t="shared" si="97"/>
        <v>972554.6</v>
      </c>
      <c r="Z98" s="77">
        <f t="shared" si="111"/>
        <v>767398.94</v>
      </c>
      <c r="AA98" s="77"/>
      <c r="AB98" s="125"/>
      <c r="AC98" s="77">
        <f t="shared" ref="AC98:AC100" si="145">SUM(T98:V98)</f>
        <v>972554.6</v>
      </c>
      <c r="AD98" s="73">
        <f t="shared" ref="AD98:AD118" si="146">AC98/J98</f>
        <v>0.50984302411542148</v>
      </c>
      <c r="AE98" s="125">
        <v>6.4683575392441321E-3</v>
      </c>
      <c r="AF98" s="166">
        <f t="shared" si="133"/>
        <v>-0.28796400013379753</v>
      </c>
      <c r="AG98" s="167">
        <f t="shared" si="134"/>
        <v>-1.5095958279832206E-7</v>
      </c>
      <c r="AH98" s="161" t="s">
        <v>401</v>
      </c>
      <c r="AI98" s="221"/>
      <c r="AJ98" s="238" t="s">
        <v>409</v>
      </c>
      <c r="AK98" s="348">
        <v>0</v>
      </c>
      <c r="AL98" s="348">
        <v>0</v>
      </c>
      <c r="AM98" s="125">
        <v>0</v>
      </c>
      <c r="AN98" s="82"/>
      <c r="AO98" s="348">
        <v>0</v>
      </c>
      <c r="AP98" s="120"/>
      <c r="AQ98" s="120"/>
      <c r="AR98" s="125">
        <f t="shared" si="120"/>
        <v>0</v>
      </c>
      <c r="AS98" s="120"/>
      <c r="AT98" s="120"/>
      <c r="AU98" s="382"/>
      <c r="AV98" s="256"/>
      <c r="AW98" s="42"/>
      <c r="AX98" s="42"/>
      <c r="AY98" s="42"/>
    </row>
    <row r="99" spans="1:51" ht="265.89999999999998" customHeight="1">
      <c r="A99" s="375" t="s">
        <v>293</v>
      </c>
      <c r="B99" s="69" t="s">
        <v>524</v>
      </c>
      <c r="C99" s="70" t="s">
        <v>0</v>
      </c>
      <c r="D99" s="70" t="s">
        <v>686</v>
      </c>
      <c r="E99" s="70"/>
      <c r="F99" s="348">
        <v>2090842</v>
      </c>
      <c r="G99" s="348"/>
      <c r="H99" s="348">
        <v>2090842</v>
      </c>
      <c r="I99" s="348"/>
      <c r="J99" s="348">
        <v>2090842</v>
      </c>
      <c r="K99" s="348">
        <v>2090842</v>
      </c>
      <c r="L99" s="348">
        <v>6913198.4199999999</v>
      </c>
      <c r="M99" s="125">
        <f t="shared" si="144"/>
        <v>3.3064183807289123</v>
      </c>
      <c r="N99" s="348">
        <v>5474794.2699999996</v>
      </c>
      <c r="O99" s="127">
        <f t="shared" si="96"/>
        <v>2.618463886797759</v>
      </c>
      <c r="P99" s="348">
        <v>1394312.07</v>
      </c>
      <c r="Q99" s="73">
        <f t="shared" si="130"/>
        <v>0.66686630075347642</v>
      </c>
      <c r="R99" s="348">
        <v>1394312.07</v>
      </c>
      <c r="S99" s="73">
        <f t="shared" si="131"/>
        <v>0.66686630075347642</v>
      </c>
      <c r="T99" s="76">
        <v>487899.34</v>
      </c>
      <c r="U99" s="76">
        <v>0</v>
      </c>
      <c r="V99" s="76">
        <v>296812.71999999997</v>
      </c>
      <c r="W99" s="76">
        <v>122880.43</v>
      </c>
      <c r="X99" s="76">
        <v>5538.76</v>
      </c>
      <c r="Y99" s="76">
        <f t="shared" si="97"/>
        <v>779173.3</v>
      </c>
      <c r="Z99" s="77">
        <f t="shared" si="111"/>
        <v>610779.77</v>
      </c>
      <c r="AA99" s="77">
        <v>45727.33</v>
      </c>
      <c r="AB99" s="125"/>
      <c r="AC99" s="77">
        <f t="shared" si="145"/>
        <v>784712.06</v>
      </c>
      <c r="AD99" s="73">
        <f t="shared" si="146"/>
        <v>0.37530911470115869</v>
      </c>
      <c r="AE99" s="125">
        <v>2.5381544399867215E-2</v>
      </c>
      <c r="AF99" s="166">
        <f t="shared" si="133"/>
        <v>696529.92999999993</v>
      </c>
      <c r="AG99" s="167">
        <f t="shared" si="134"/>
        <v>0.33313369924652364</v>
      </c>
      <c r="AH99" s="161" t="s">
        <v>402</v>
      </c>
      <c r="AI99" s="221"/>
      <c r="AJ99" s="238" t="s">
        <v>409</v>
      </c>
      <c r="AK99" s="348">
        <v>0</v>
      </c>
      <c r="AL99" s="348">
        <v>0</v>
      </c>
      <c r="AM99" s="125">
        <v>0</v>
      </c>
      <c r="AN99" s="82"/>
      <c r="AO99" s="348">
        <v>0</v>
      </c>
      <c r="AP99" s="120"/>
      <c r="AQ99" s="120"/>
      <c r="AR99" s="125">
        <f t="shared" si="120"/>
        <v>0</v>
      </c>
      <c r="AS99" s="120"/>
      <c r="AT99" s="120"/>
      <c r="AU99" s="382"/>
      <c r="AV99" s="256"/>
      <c r="AW99" s="42"/>
      <c r="AX99" s="42"/>
      <c r="AY99" s="42"/>
    </row>
    <row r="100" spans="1:51" ht="100.9" customHeight="1">
      <c r="A100" s="375" t="s">
        <v>294</v>
      </c>
      <c r="B100" s="69" t="s">
        <v>525</v>
      </c>
      <c r="C100" s="70" t="s">
        <v>0</v>
      </c>
      <c r="D100" s="70" t="s">
        <v>686</v>
      </c>
      <c r="E100" s="70"/>
      <c r="F100" s="348">
        <v>1672674</v>
      </c>
      <c r="G100" s="348"/>
      <c r="H100" s="348">
        <v>1672674</v>
      </c>
      <c r="I100" s="348"/>
      <c r="J100" s="348">
        <v>1672674</v>
      </c>
      <c r="K100" s="348">
        <v>1672674</v>
      </c>
      <c r="L100" s="348">
        <v>2170046.86</v>
      </c>
      <c r="M100" s="125">
        <f t="shared" si="144"/>
        <v>1.2973519406650666</v>
      </c>
      <c r="N100" s="348">
        <v>594337.37</v>
      </c>
      <c r="O100" s="127">
        <f t="shared" si="96"/>
        <v>0.35532170046285172</v>
      </c>
      <c r="P100" s="348">
        <v>1605060.11</v>
      </c>
      <c r="Q100" s="73">
        <f t="shared" si="130"/>
        <v>0.95957736534435289</v>
      </c>
      <c r="R100" s="76">
        <v>996749.82</v>
      </c>
      <c r="S100" s="73">
        <f t="shared" si="131"/>
        <v>0.59590202274920279</v>
      </c>
      <c r="T100" s="76">
        <v>256027.05</v>
      </c>
      <c r="U100" s="76">
        <v>0</v>
      </c>
      <c r="V100" s="76">
        <v>178022.13</v>
      </c>
      <c r="W100" s="76">
        <v>43084.200000000099</v>
      </c>
      <c r="X100" s="76">
        <v>1273.76</v>
      </c>
      <c r="Y100" s="76">
        <f t="shared" si="97"/>
        <v>432775.42</v>
      </c>
      <c r="Z100" s="77">
        <f t="shared" si="111"/>
        <v>299111.25000000012</v>
      </c>
      <c r="AA100" s="77"/>
      <c r="AB100" s="125"/>
      <c r="AC100" s="77">
        <f t="shared" si="145"/>
        <v>434049.18</v>
      </c>
      <c r="AD100" s="73">
        <f t="shared" si="146"/>
        <v>0.25949418715182992</v>
      </c>
      <c r="AE100" s="125">
        <v>2.515391376862111E-3</v>
      </c>
      <c r="AF100" s="166">
        <f t="shared" si="133"/>
        <v>675924.18</v>
      </c>
      <c r="AG100" s="167">
        <f t="shared" si="134"/>
        <v>0.40409797725079727</v>
      </c>
      <c r="AH100" s="161" t="s">
        <v>403</v>
      </c>
      <c r="AI100" s="221"/>
      <c r="AJ100" s="238" t="s">
        <v>409</v>
      </c>
      <c r="AK100" s="348">
        <v>0</v>
      </c>
      <c r="AL100" s="348">
        <v>0</v>
      </c>
      <c r="AM100" s="125">
        <v>0</v>
      </c>
      <c r="AN100" s="82"/>
      <c r="AO100" s="348">
        <v>0</v>
      </c>
      <c r="AP100" s="120"/>
      <c r="AQ100" s="120"/>
      <c r="AR100" s="125">
        <f t="shared" si="120"/>
        <v>0</v>
      </c>
      <c r="AS100" s="120"/>
      <c r="AT100" s="120"/>
      <c r="AU100" s="382"/>
      <c r="AV100" s="256"/>
      <c r="AW100" s="42"/>
      <c r="AX100" s="42"/>
      <c r="AY100" s="42"/>
    </row>
    <row r="101" spans="1:51" s="50" customFormat="1" ht="84" customHeight="1">
      <c r="A101" s="373" t="s">
        <v>55</v>
      </c>
      <c r="B101" s="64" t="s">
        <v>526</v>
      </c>
      <c r="C101" s="65" t="s">
        <v>0</v>
      </c>
      <c r="D101" s="65" t="s">
        <v>687</v>
      </c>
      <c r="E101" s="65"/>
      <c r="F101" s="347">
        <f>SUM(F102:F103)</f>
        <v>5026716</v>
      </c>
      <c r="G101" s="347"/>
      <c r="H101" s="347">
        <f>SUM(H102:H103)</f>
        <v>5026716</v>
      </c>
      <c r="I101" s="347"/>
      <c r="J101" s="347">
        <f>SUM(J102:J103)</f>
        <v>5026716</v>
      </c>
      <c r="K101" s="347">
        <f>SUM(K102:K103)</f>
        <v>5026716</v>
      </c>
      <c r="L101" s="347">
        <f t="shared" ref="L101:N101" si="147">SUM(L102:L103)</f>
        <v>6222610.1400000006</v>
      </c>
      <c r="M101" s="124">
        <f>L101/J101</f>
        <v>1.2379076398984945</v>
      </c>
      <c r="N101" s="347">
        <f t="shared" si="147"/>
        <v>1234474.94</v>
      </c>
      <c r="O101" s="121">
        <f t="shared" si="96"/>
        <v>0.24558279003627814</v>
      </c>
      <c r="P101" s="66">
        <f t="shared" ref="P101" si="148">SUM(P102:P103)</f>
        <v>4975128.2</v>
      </c>
      <c r="Q101" s="67">
        <f t="shared" si="130"/>
        <v>0.98973727578800952</v>
      </c>
      <c r="R101" s="66">
        <f t="shared" ref="R101" si="149">SUM(R102:R103)</f>
        <v>4975128.2</v>
      </c>
      <c r="S101" s="67">
        <f t="shared" si="131"/>
        <v>0.98973727578800952</v>
      </c>
      <c r="T101" s="66">
        <f t="shared" ref="T101:X101" si="150">SUM(T102:T103)</f>
        <v>1109715.8599999999</v>
      </c>
      <c r="U101" s="66">
        <f t="shared" si="150"/>
        <v>0</v>
      </c>
      <c r="V101" s="66">
        <f t="shared" si="150"/>
        <v>2258885.27</v>
      </c>
      <c r="W101" s="66">
        <f t="shared" si="150"/>
        <v>851826.66</v>
      </c>
      <c r="X101" s="66">
        <f t="shared" si="150"/>
        <v>6503.5</v>
      </c>
      <c r="Y101" s="66">
        <f t="shared" si="97"/>
        <v>3362097.63</v>
      </c>
      <c r="Z101" s="66">
        <f t="shared" si="111"/>
        <v>1961542.52</v>
      </c>
      <c r="AA101" s="66">
        <f t="shared" ref="AA101" si="151">SUM(AA102:AA103)</f>
        <v>31507</v>
      </c>
      <c r="AB101" s="128">
        <f>AA101/J101</f>
        <v>6.2679093069908862E-3</v>
      </c>
      <c r="AC101" s="66">
        <f t="shared" ref="AC101" si="152">SUM(AC102:AC103)</f>
        <v>3368601.13</v>
      </c>
      <c r="AD101" s="67">
        <f t="shared" si="146"/>
        <v>0.67013953642895274</v>
      </c>
      <c r="AE101" s="133"/>
      <c r="AF101" s="56">
        <f t="shared" si="133"/>
        <v>51587.799999999814</v>
      </c>
      <c r="AG101" s="57">
        <f t="shared" si="134"/>
        <v>1.0262724211990456E-2</v>
      </c>
      <c r="AH101" s="119"/>
      <c r="AI101" s="217"/>
      <c r="AJ101" s="237" t="s">
        <v>409</v>
      </c>
      <c r="AK101" s="347">
        <f>SUM(AK102:AK103)</f>
        <v>0</v>
      </c>
      <c r="AL101" s="347">
        <f>SUM(AL102:AL103)</f>
        <v>0</v>
      </c>
      <c r="AM101" s="193">
        <v>0</v>
      </c>
      <c r="AN101" s="86"/>
      <c r="AO101" s="194">
        <v>0</v>
      </c>
      <c r="AP101" s="347">
        <f>SUM(AP102:AP103)</f>
        <v>940072</v>
      </c>
      <c r="AQ101" s="347">
        <f>SUM(AQ102:AQ103)</f>
        <v>0</v>
      </c>
      <c r="AR101" s="193">
        <f t="shared" si="120"/>
        <v>0</v>
      </c>
      <c r="AS101" s="119"/>
      <c r="AT101" s="119"/>
      <c r="AU101" s="388"/>
      <c r="AV101" s="259"/>
    </row>
    <row r="102" spans="1:51" ht="160.5" customHeight="1">
      <c r="A102" s="375" t="s">
        <v>270</v>
      </c>
      <c r="B102" s="69" t="s">
        <v>527</v>
      </c>
      <c r="C102" s="70" t="s">
        <v>0</v>
      </c>
      <c r="D102" s="70" t="s">
        <v>687</v>
      </c>
      <c r="E102" s="70"/>
      <c r="F102" s="348">
        <v>2543142</v>
      </c>
      <c r="G102" s="348"/>
      <c r="H102" s="348">
        <v>2543142</v>
      </c>
      <c r="I102" s="348"/>
      <c r="J102" s="348">
        <f>H102</f>
        <v>2543142</v>
      </c>
      <c r="K102" s="348">
        <v>2543142</v>
      </c>
      <c r="L102" s="348">
        <v>2543913.14</v>
      </c>
      <c r="M102" s="125">
        <f t="shared" si="144"/>
        <v>1.0003032233355433</v>
      </c>
      <c r="N102" s="348"/>
      <c r="O102" s="127">
        <f t="shared" si="96"/>
        <v>0</v>
      </c>
      <c r="P102" s="348">
        <v>2530906.14</v>
      </c>
      <c r="Q102" s="73">
        <f t="shared" si="130"/>
        <v>0.99518868391934079</v>
      </c>
      <c r="R102" s="348">
        <v>2530906.14</v>
      </c>
      <c r="S102" s="73">
        <f t="shared" si="131"/>
        <v>0.99518868391934079</v>
      </c>
      <c r="T102" s="76">
        <v>707161.36</v>
      </c>
      <c r="U102" s="76">
        <v>0</v>
      </c>
      <c r="V102" s="76">
        <v>1135382.77</v>
      </c>
      <c r="W102" s="76">
        <v>587883.53</v>
      </c>
      <c r="X102" s="76">
        <v>6503.5</v>
      </c>
      <c r="Y102" s="78">
        <f t="shared" si="97"/>
        <v>1836040.63</v>
      </c>
      <c r="Z102" s="113">
        <f t="shared" si="111"/>
        <v>1295044.8900000001</v>
      </c>
      <c r="AA102" s="113">
        <v>31507</v>
      </c>
      <c r="AB102" s="131">
        <f>AA102/J102</f>
        <v>1.2389005411416272E-2</v>
      </c>
      <c r="AC102" s="113">
        <f t="shared" ref="AC102" si="153">SUM(T102:V102)</f>
        <v>1842544.13</v>
      </c>
      <c r="AD102" s="73">
        <f t="shared" si="146"/>
        <v>0.72451484423598833</v>
      </c>
      <c r="AE102" s="125">
        <v>5.9117321665817599E-3</v>
      </c>
      <c r="AF102" s="166">
        <f t="shared" si="133"/>
        <v>12235.85999999987</v>
      </c>
      <c r="AG102" s="167">
        <f t="shared" si="134"/>
        <v>4.8113160806592279E-3</v>
      </c>
      <c r="AH102" s="152" t="s">
        <v>365</v>
      </c>
      <c r="AI102" s="152"/>
      <c r="AJ102" s="238" t="s">
        <v>409</v>
      </c>
      <c r="AK102" s="348">
        <v>0</v>
      </c>
      <c r="AL102" s="348">
        <v>0</v>
      </c>
      <c r="AM102" s="125">
        <v>0</v>
      </c>
      <c r="AN102" s="82"/>
      <c r="AO102" s="348">
        <v>0</v>
      </c>
      <c r="AP102" s="348"/>
      <c r="AQ102" s="348"/>
      <c r="AR102" s="125">
        <f t="shared" si="120"/>
        <v>0</v>
      </c>
      <c r="AS102" s="92"/>
      <c r="AT102" s="120"/>
      <c r="AU102" s="382"/>
      <c r="AV102" s="256"/>
      <c r="AW102" s="42"/>
      <c r="AX102" s="42"/>
      <c r="AY102" s="42"/>
    </row>
    <row r="103" spans="1:51" ht="147.75" customHeight="1">
      <c r="A103" s="375" t="s">
        <v>269</v>
      </c>
      <c r="B103" s="69" t="s">
        <v>528</v>
      </c>
      <c r="C103" s="70" t="s">
        <v>0</v>
      </c>
      <c r="D103" s="70" t="s">
        <v>687</v>
      </c>
      <c r="E103" s="70"/>
      <c r="F103" s="348">
        <v>2483574</v>
      </c>
      <c r="G103" s="348"/>
      <c r="H103" s="348">
        <v>2483574</v>
      </c>
      <c r="I103" s="348"/>
      <c r="J103" s="348">
        <f>H103</f>
        <v>2483574</v>
      </c>
      <c r="K103" s="348">
        <v>2483574</v>
      </c>
      <c r="L103" s="348">
        <v>3678697</v>
      </c>
      <c r="M103" s="125">
        <f t="shared" si="144"/>
        <v>1.481210948415469</v>
      </c>
      <c r="N103" s="348">
        <v>1234474.94</v>
      </c>
      <c r="O103" s="127">
        <f t="shared" si="96"/>
        <v>0.49705583163618233</v>
      </c>
      <c r="P103" s="348">
        <v>2444222.06</v>
      </c>
      <c r="Q103" s="73">
        <f t="shared" si="130"/>
        <v>0.98415511677928669</v>
      </c>
      <c r="R103" s="76">
        <v>2444222.06</v>
      </c>
      <c r="S103" s="73">
        <f t="shared" si="131"/>
        <v>0.98415511677928669</v>
      </c>
      <c r="T103" s="76">
        <v>402554.5</v>
      </c>
      <c r="U103" s="76">
        <v>0</v>
      </c>
      <c r="V103" s="76">
        <v>1123502.5</v>
      </c>
      <c r="W103" s="76">
        <v>263943.13</v>
      </c>
      <c r="X103" s="76">
        <v>0</v>
      </c>
      <c r="Y103" s="78">
        <f t="shared" si="97"/>
        <v>1526057</v>
      </c>
      <c r="Z103" s="113">
        <f t="shared" si="111"/>
        <v>666497.63</v>
      </c>
      <c r="AA103" s="113"/>
      <c r="AB103" s="131"/>
      <c r="AC103" s="113">
        <f>SUM(T103:V103)</f>
        <v>1526057</v>
      </c>
      <c r="AD103" s="73">
        <f t="shared" si="146"/>
        <v>0.61446004830135925</v>
      </c>
      <c r="AE103" s="125">
        <v>0</v>
      </c>
      <c r="AF103" s="166">
        <f t="shared" si="133"/>
        <v>39351.939999999944</v>
      </c>
      <c r="AG103" s="167">
        <f t="shared" si="134"/>
        <v>1.5844883220713351E-2</v>
      </c>
      <c r="AH103" s="152" t="s">
        <v>366</v>
      </c>
      <c r="AI103" s="152"/>
      <c r="AJ103" s="238" t="s">
        <v>409</v>
      </c>
      <c r="AK103" s="348">
        <v>0</v>
      </c>
      <c r="AL103" s="348">
        <v>0</v>
      </c>
      <c r="AM103" s="125">
        <v>0</v>
      </c>
      <c r="AN103" s="82"/>
      <c r="AO103" s="348">
        <v>0</v>
      </c>
      <c r="AP103" s="72">
        <v>940072</v>
      </c>
      <c r="AQ103" s="72">
        <v>0</v>
      </c>
      <c r="AR103" s="125">
        <f t="shared" si="120"/>
        <v>0</v>
      </c>
      <c r="AS103" s="72" t="s">
        <v>432</v>
      </c>
      <c r="AT103" s="305" t="s">
        <v>713</v>
      </c>
      <c r="AU103" s="382"/>
      <c r="AV103" s="256"/>
      <c r="AW103" s="42"/>
      <c r="AX103" s="42"/>
      <c r="AY103" s="42"/>
    </row>
    <row r="104" spans="1:51" s="50" customFormat="1" ht="33.6" customHeight="1">
      <c r="A104" s="373" t="s">
        <v>295</v>
      </c>
      <c r="B104" s="64" t="s">
        <v>529</v>
      </c>
      <c r="C104" s="65" t="s">
        <v>0</v>
      </c>
      <c r="D104" s="65" t="s">
        <v>157</v>
      </c>
      <c r="E104" s="65"/>
      <c r="F104" s="347">
        <f t="shared" ref="F104:P105" si="154">F105</f>
        <v>12847761</v>
      </c>
      <c r="G104" s="347"/>
      <c r="H104" s="347">
        <f t="shared" si="154"/>
        <v>12847761</v>
      </c>
      <c r="I104" s="347"/>
      <c r="J104" s="347">
        <f t="shared" si="154"/>
        <v>12847761</v>
      </c>
      <c r="K104" s="347">
        <f t="shared" si="154"/>
        <v>12847761</v>
      </c>
      <c r="L104" s="347">
        <f t="shared" si="154"/>
        <v>12822318.59</v>
      </c>
      <c r="M104" s="124">
        <f t="shared" si="144"/>
        <v>0.99801970086460978</v>
      </c>
      <c r="N104" s="347">
        <f t="shared" si="154"/>
        <v>0</v>
      </c>
      <c r="O104" s="121">
        <f t="shared" si="96"/>
        <v>0</v>
      </c>
      <c r="P104" s="66">
        <f t="shared" si="154"/>
        <v>12822318.59</v>
      </c>
      <c r="Q104" s="67">
        <f t="shared" si="130"/>
        <v>0.99801970086460978</v>
      </c>
      <c r="R104" s="66">
        <f>R105</f>
        <v>12822318.59</v>
      </c>
      <c r="S104" s="67">
        <f t="shared" si="131"/>
        <v>0.99801970086460978</v>
      </c>
      <c r="T104" s="66">
        <f t="shared" ref="T104:X105" si="155">T105</f>
        <v>6687243.9400000004</v>
      </c>
      <c r="U104" s="66">
        <f t="shared" si="155"/>
        <v>0</v>
      </c>
      <c r="V104" s="66">
        <f t="shared" si="155"/>
        <v>0</v>
      </c>
      <c r="W104" s="66">
        <f t="shared" si="155"/>
        <v>0</v>
      </c>
      <c r="X104" s="66">
        <f t="shared" si="155"/>
        <v>0</v>
      </c>
      <c r="Y104" s="66">
        <f t="shared" si="97"/>
        <v>6687243.9400000004</v>
      </c>
      <c r="Z104" s="66">
        <f t="shared" si="111"/>
        <v>6687243.9400000004</v>
      </c>
      <c r="AA104" s="66">
        <f>AA105</f>
        <v>0</v>
      </c>
      <c r="AB104" s="128">
        <f>AA104/J104</f>
        <v>0</v>
      </c>
      <c r="AC104" s="66">
        <f>AC105</f>
        <v>6687243.9400000004</v>
      </c>
      <c r="AD104" s="67">
        <f t="shared" si="146"/>
        <v>0.52049878107165914</v>
      </c>
      <c r="AE104" s="133">
        <f>AE105</f>
        <v>5.737925984755924E-3</v>
      </c>
      <c r="AF104" s="168">
        <f t="shared" si="133"/>
        <v>25442.410000000149</v>
      </c>
      <c r="AG104" s="57">
        <f t="shared" si="134"/>
        <v>1.9802991353902169E-3</v>
      </c>
      <c r="AH104" s="119"/>
      <c r="AI104" s="217"/>
      <c r="AJ104" s="237" t="s">
        <v>409</v>
      </c>
      <c r="AK104" s="194">
        <v>0</v>
      </c>
      <c r="AL104" s="194">
        <v>0</v>
      </c>
      <c r="AM104" s="193">
        <v>0</v>
      </c>
      <c r="AN104" s="86"/>
      <c r="AO104" s="194">
        <v>0</v>
      </c>
      <c r="AP104" s="119"/>
      <c r="AQ104" s="119"/>
      <c r="AR104" s="193">
        <f t="shared" si="120"/>
        <v>0</v>
      </c>
      <c r="AS104" s="119"/>
      <c r="AT104" s="119"/>
      <c r="AU104" s="388"/>
      <c r="AV104" s="259"/>
    </row>
    <row r="105" spans="1:51" s="50" customFormat="1" ht="67.150000000000006" customHeight="1">
      <c r="A105" s="373" t="s">
        <v>206</v>
      </c>
      <c r="B105" s="64" t="s">
        <v>530</v>
      </c>
      <c r="C105" s="65" t="s">
        <v>0</v>
      </c>
      <c r="D105" s="65" t="s">
        <v>157</v>
      </c>
      <c r="E105" s="65"/>
      <c r="F105" s="347">
        <f t="shared" si="154"/>
        <v>12847761</v>
      </c>
      <c r="G105" s="347"/>
      <c r="H105" s="347">
        <f t="shared" si="154"/>
        <v>12847761</v>
      </c>
      <c r="I105" s="347"/>
      <c r="J105" s="347">
        <f t="shared" si="154"/>
        <v>12847761</v>
      </c>
      <c r="K105" s="347">
        <f t="shared" si="154"/>
        <v>12847761</v>
      </c>
      <c r="L105" s="347">
        <f t="shared" si="154"/>
        <v>12822318.59</v>
      </c>
      <c r="M105" s="124">
        <f t="shared" si="144"/>
        <v>0.99801970086460978</v>
      </c>
      <c r="N105" s="347">
        <f t="shared" si="154"/>
        <v>0</v>
      </c>
      <c r="O105" s="121">
        <f t="shared" si="96"/>
        <v>0</v>
      </c>
      <c r="P105" s="66">
        <f t="shared" si="154"/>
        <v>12822318.59</v>
      </c>
      <c r="Q105" s="67">
        <f t="shared" si="130"/>
        <v>0.99801970086460978</v>
      </c>
      <c r="R105" s="66">
        <f>R106</f>
        <v>12822318.59</v>
      </c>
      <c r="S105" s="67">
        <f t="shared" si="131"/>
        <v>0.99801970086460978</v>
      </c>
      <c r="T105" s="66">
        <f t="shared" si="155"/>
        <v>6687243.9400000004</v>
      </c>
      <c r="U105" s="66">
        <f t="shared" si="155"/>
        <v>0</v>
      </c>
      <c r="V105" s="66">
        <f t="shared" si="155"/>
        <v>0</v>
      </c>
      <c r="W105" s="66">
        <f>W106</f>
        <v>0</v>
      </c>
      <c r="X105" s="66">
        <f t="shared" si="155"/>
        <v>0</v>
      </c>
      <c r="Y105" s="66">
        <f t="shared" si="97"/>
        <v>6687243.9400000004</v>
      </c>
      <c r="Z105" s="66">
        <f t="shared" si="111"/>
        <v>6687243.9400000004</v>
      </c>
      <c r="AA105" s="66">
        <f>AA106</f>
        <v>0</v>
      </c>
      <c r="AB105" s="128">
        <f>AA105/J105</f>
        <v>0</v>
      </c>
      <c r="AC105" s="66">
        <f>AC106</f>
        <v>6687243.9400000004</v>
      </c>
      <c r="AD105" s="67">
        <f t="shared" si="146"/>
        <v>0.52049878107165914</v>
      </c>
      <c r="AE105" s="133">
        <f>AE106</f>
        <v>5.737925984755924E-3</v>
      </c>
      <c r="AF105" s="168">
        <f t="shared" si="133"/>
        <v>25442.410000000149</v>
      </c>
      <c r="AG105" s="57">
        <f t="shared" si="134"/>
        <v>1.9802991353902169E-3</v>
      </c>
      <c r="AH105" s="119"/>
      <c r="AI105" s="217"/>
      <c r="AJ105" s="237" t="s">
        <v>409</v>
      </c>
      <c r="AK105" s="194">
        <v>0</v>
      </c>
      <c r="AL105" s="194">
        <v>0</v>
      </c>
      <c r="AM105" s="193">
        <v>0</v>
      </c>
      <c r="AN105" s="86"/>
      <c r="AO105" s="194">
        <v>0</v>
      </c>
      <c r="AP105" s="119"/>
      <c r="AQ105" s="119"/>
      <c r="AR105" s="193">
        <f t="shared" si="120"/>
        <v>0</v>
      </c>
      <c r="AS105" s="119"/>
      <c r="AT105" s="119"/>
      <c r="AU105" s="388"/>
      <c r="AV105" s="259"/>
    </row>
    <row r="106" spans="1:51" ht="312" customHeight="1">
      <c r="A106" s="375" t="s">
        <v>296</v>
      </c>
      <c r="B106" s="69" t="s">
        <v>531</v>
      </c>
      <c r="C106" s="70" t="s">
        <v>0</v>
      </c>
      <c r="D106" s="70" t="s">
        <v>157</v>
      </c>
      <c r="E106" s="70"/>
      <c r="F106" s="348">
        <v>12847761</v>
      </c>
      <c r="G106" s="348"/>
      <c r="H106" s="348">
        <v>12847761</v>
      </c>
      <c r="I106" s="348"/>
      <c r="J106" s="348">
        <v>12847761</v>
      </c>
      <c r="K106" s="348">
        <v>12847761</v>
      </c>
      <c r="L106" s="348">
        <v>12822318.59</v>
      </c>
      <c r="M106" s="125">
        <f t="shared" si="144"/>
        <v>0.99801970086460978</v>
      </c>
      <c r="N106" s="348"/>
      <c r="O106" s="127">
        <f t="shared" si="96"/>
        <v>0</v>
      </c>
      <c r="P106" s="348">
        <v>12822318.59</v>
      </c>
      <c r="Q106" s="73">
        <f t="shared" si="130"/>
        <v>0.99801970086460978</v>
      </c>
      <c r="R106" s="348">
        <v>12822318.59</v>
      </c>
      <c r="S106" s="73">
        <f t="shared" si="131"/>
        <v>0.99801970086460978</v>
      </c>
      <c r="T106" s="348">
        <v>6687243.9400000004</v>
      </c>
      <c r="U106" s="112">
        <v>0</v>
      </c>
      <c r="V106" s="112">
        <v>0</v>
      </c>
      <c r="W106" s="112">
        <v>0</v>
      </c>
      <c r="X106" s="112">
        <v>0</v>
      </c>
      <c r="Y106" s="78">
        <v>6687243.9400000004</v>
      </c>
      <c r="Z106" s="113">
        <v>6687243.9400000004</v>
      </c>
      <c r="AA106" s="113"/>
      <c r="AB106" s="131"/>
      <c r="AC106" s="113">
        <v>6687243.9400000004</v>
      </c>
      <c r="AD106" s="73">
        <f t="shared" si="146"/>
        <v>0.52049878107165914</v>
      </c>
      <c r="AE106" s="125">
        <v>5.737925984755924E-3</v>
      </c>
      <c r="AF106" s="166">
        <f t="shared" si="133"/>
        <v>25442.410000000149</v>
      </c>
      <c r="AG106" s="167">
        <f t="shared" si="134"/>
        <v>1.9802991353902169E-3</v>
      </c>
      <c r="AH106" s="162" t="s">
        <v>404</v>
      </c>
      <c r="AI106" s="222"/>
      <c r="AJ106" s="238" t="s">
        <v>409</v>
      </c>
      <c r="AK106" s="348">
        <v>0</v>
      </c>
      <c r="AL106" s="348">
        <v>0</v>
      </c>
      <c r="AM106" s="125">
        <v>0</v>
      </c>
      <c r="AN106" s="82"/>
      <c r="AO106" s="348">
        <v>0</v>
      </c>
      <c r="AP106" s="301"/>
      <c r="AQ106" s="301"/>
      <c r="AR106" s="125">
        <f t="shared" si="120"/>
        <v>0</v>
      </c>
      <c r="AS106" s="301"/>
      <c r="AT106" s="301"/>
      <c r="AU106" s="382"/>
      <c r="AV106" s="256"/>
      <c r="AW106" s="42"/>
      <c r="AX106" s="42"/>
      <c r="AY106" s="42"/>
    </row>
    <row r="107" spans="1:51" s="50" customFormat="1" ht="51.75">
      <c r="A107" s="371" t="s">
        <v>297</v>
      </c>
      <c r="B107" s="59" t="s">
        <v>532</v>
      </c>
      <c r="C107" s="60" t="s">
        <v>56</v>
      </c>
      <c r="D107" s="60" t="s">
        <v>1</v>
      </c>
      <c r="E107" s="60"/>
      <c r="F107" s="346">
        <f>F108+F128+F138+F149</f>
        <v>517777457.92000002</v>
      </c>
      <c r="G107" s="346"/>
      <c r="H107" s="85">
        <f>H108+H128+H138+H149</f>
        <v>517777458.88746399</v>
      </c>
      <c r="I107" s="85"/>
      <c r="J107" s="85">
        <f>J108+J128+J138+J149</f>
        <v>517777458.69641602</v>
      </c>
      <c r="K107" s="85">
        <f>K108+K128+K138+K149</f>
        <v>543127102.19716406</v>
      </c>
      <c r="L107" s="85">
        <f>L108+L128+L138+L149</f>
        <v>743582613.66999996</v>
      </c>
      <c r="M107" s="126">
        <f>L107/J107</f>
        <v>1.4361046453085906</v>
      </c>
      <c r="N107" s="85">
        <f>N108+N128+N138+N149</f>
        <v>247285298.18000004</v>
      </c>
      <c r="O107" s="126">
        <f t="shared" si="96"/>
        <v>0.47758992599364719</v>
      </c>
      <c r="P107" s="61">
        <f>P108+P128+P138+P149</f>
        <v>454524953.69000006</v>
      </c>
      <c r="Q107" s="62">
        <f t="shared" si="130"/>
        <v>0.87783843436200593</v>
      </c>
      <c r="R107" s="115">
        <f>R108+R128+R138+R149</f>
        <v>420530666.39000005</v>
      </c>
      <c r="S107" s="62">
        <f t="shared" si="131"/>
        <v>0.81218419096256211</v>
      </c>
      <c r="T107" s="115">
        <f>T108+T128+T138+T149</f>
        <v>184437939.13</v>
      </c>
      <c r="U107" s="115">
        <f>U108+U128+U138+U149</f>
        <v>27216414.289999999</v>
      </c>
      <c r="V107" s="115">
        <f>V108+V128+V138+V149</f>
        <v>31188847.080000002</v>
      </c>
      <c r="W107" s="115">
        <f>W108+W128+W138+W149</f>
        <v>157589.03</v>
      </c>
      <c r="X107" s="115">
        <f>X108+X128+X138+X149</f>
        <v>38269239.380000003</v>
      </c>
      <c r="Y107" s="115">
        <f t="shared" si="97"/>
        <v>204573961.12000003</v>
      </c>
      <c r="Z107" s="61">
        <f t="shared" si="111"/>
        <v>211811942.44999999</v>
      </c>
      <c r="AA107" s="115">
        <f>AA108+AA128+AA138+AA149</f>
        <v>41271926.560000002</v>
      </c>
      <c r="AB107" s="130">
        <f>AA107/J107</f>
        <v>7.970977852900045E-2</v>
      </c>
      <c r="AC107" s="61">
        <f>AC108+AC128+AC138+AC149</f>
        <v>242843200.50000003</v>
      </c>
      <c r="AD107" s="62">
        <f t="shared" si="146"/>
        <v>0.46901076209728199</v>
      </c>
      <c r="AE107" s="130">
        <v>1.0598521556582139E-2</v>
      </c>
      <c r="AF107" s="61">
        <f t="shared" si="133"/>
        <v>97246792.306415975</v>
      </c>
      <c r="AG107" s="62">
        <f t="shared" si="134"/>
        <v>0.18781580903743791</v>
      </c>
      <c r="AH107" s="63"/>
      <c r="AI107" s="216"/>
      <c r="AJ107" s="240" t="s">
        <v>408</v>
      </c>
      <c r="AK107" s="85">
        <f>AK108+AK128+AK138+AK149</f>
        <v>48521508.271780893</v>
      </c>
      <c r="AL107" s="85">
        <f>AL108+AL128+AL138+AL149</f>
        <v>49056323.799999997</v>
      </c>
      <c r="AM107" s="130">
        <f>AL107/K107</f>
        <v>9.0321995719874329E-2</v>
      </c>
      <c r="AN107" s="130"/>
      <c r="AO107" s="61">
        <f>AO110+AO113+AO115</f>
        <v>43056323.799999997</v>
      </c>
      <c r="AP107" s="85">
        <f>AP108+AP128+AP138+AP149</f>
        <v>54086882</v>
      </c>
      <c r="AQ107" s="85">
        <f>AQ108+AQ128+AQ138+AQ149</f>
        <v>49056324</v>
      </c>
      <c r="AR107" s="130">
        <f t="shared" si="120"/>
        <v>9.0321996088112255E-2</v>
      </c>
      <c r="AS107" s="63"/>
      <c r="AT107" s="63"/>
      <c r="AU107" s="372">
        <f>AU110+AU113+AU115</f>
        <v>0</v>
      </c>
      <c r="AV107" s="251"/>
      <c r="AW107" s="244"/>
      <c r="AX107" s="244"/>
      <c r="AY107" s="244"/>
    </row>
    <row r="108" spans="1:51" s="50" customFormat="1" ht="33">
      <c r="A108" s="373" t="s">
        <v>182</v>
      </c>
      <c r="B108" s="64" t="s">
        <v>533</v>
      </c>
      <c r="C108" s="65"/>
      <c r="D108" s="65"/>
      <c r="E108" s="65"/>
      <c r="F108" s="347">
        <v>327536181</v>
      </c>
      <c r="G108" s="86"/>
      <c r="H108" s="347">
        <f>H109+H115</f>
        <v>318005285.239824</v>
      </c>
      <c r="I108" s="347"/>
      <c r="J108" s="347">
        <f>J109+J115</f>
        <v>318005285.30987597</v>
      </c>
      <c r="K108" s="347">
        <f>K109+K115</f>
        <v>320045094.197164</v>
      </c>
      <c r="L108" s="347">
        <f t="shared" ref="L108:N108" si="156">L109+L115</f>
        <v>513782824.21999997</v>
      </c>
      <c r="M108" s="124">
        <f t="shared" si="144"/>
        <v>1.615642405815209</v>
      </c>
      <c r="N108" s="347">
        <f t="shared" si="156"/>
        <v>210739779.53000003</v>
      </c>
      <c r="O108" s="121">
        <f t="shared" si="96"/>
        <v>0.66269269494891414</v>
      </c>
      <c r="P108" s="66">
        <f>P109+P115</f>
        <v>273566822.09000003</v>
      </c>
      <c r="Q108" s="67">
        <f t="shared" si="130"/>
        <v>0.86025872753475319</v>
      </c>
      <c r="R108" s="66">
        <f>R109+R115</f>
        <v>240468165.60000002</v>
      </c>
      <c r="S108" s="67">
        <f t="shared" si="131"/>
        <v>0.75617663198798424</v>
      </c>
      <c r="T108" s="66">
        <f>T109+T115</f>
        <v>35786523.079999998</v>
      </c>
      <c r="U108" s="66">
        <f t="shared" ref="U108:X108" si="157">U109+U115</f>
        <v>26968766.829999998</v>
      </c>
      <c r="V108" s="66">
        <f t="shared" si="157"/>
        <v>31188847.080000002</v>
      </c>
      <c r="W108" s="66">
        <f t="shared" si="157"/>
        <v>157589.03</v>
      </c>
      <c r="X108" s="66">
        <f t="shared" si="157"/>
        <v>4739592.57</v>
      </c>
      <c r="Y108" s="66">
        <f t="shared" si="97"/>
        <v>89204544.420000017</v>
      </c>
      <c r="Z108" s="66">
        <f t="shared" si="111"/>
        <v>62912878.939999998</v>
      </c>
      <c r="AA108" s="66">
        <f>AA109+AA115</f>
        <v>28253055.41</v>
      </c>
      <c r="AB108" s="128">
        <f>AA108/J108</f>
        <v>8.8844609555684559E-2</v>
      </c>
      <c r="AC108" s="66">
        <f>AC109+AC115</f>
        <v>93944136.99000001</v>
      </c>
      <c r="AD108" s="67">
        <f t="shared" si="146"/>
        <v>0.29541690446577773</v>
      </c>
      <c r="AE108" s="133">
        <v>2.1000000000000001E-2</v>
      </c>
      <c r="AF108" s="56">
        <f t="shared" si="133"/>
        <v>77537119.709875941</v>
      </c>
      <c r="AG108" s="57">
        <f t="shared" si="134"/>
        <v>0.24382336801201571</v>
      </c>
      <c r="AH108" s="93"/>
      <c r="AI108" s="99"/>
      <c r="AJ108" s="237" t="s">
        <v>408</v>
      </c>
      <c r="AK108" s="347">
        <f>AK109+AK115</f>
        <v>48521508.271780893</v>
      </c>
      <c r="AL108" s="347">
        <f>AL109+AL115</f>
        <v>49056323.799999997</v>
      </c>
      <c r="AM108" s="124">
        <f>AL108/K108</f>
        <v>0.15327941183744193</v>
      </c>
      <c r="AN108" s="347" t="s">
        <v>433</v>
      </c>
      <c r="AO108" s="347">
        <f>AO109+AO115</f>
        <v>43056323.799999997</v>
      </c>
      <c r="AP108" s="347">
        <f>AP109+AP115</f>
        <v>48086882</v>
      </c>
      <c r="AQ108" s="347">
        <f>AQ109+AQ115</f>
        <v>43056324</v>
      </c>
      <c r="AR108" s="124">
        <f t="shared" si="120"/>
        <v>0.13453205432817888</v>
      </c>
      <c r="AS108" s="270"/>
      <c r="AT108" s="270"/>
      <c r="AU108" s="380"/>
      <c r="AV108" s="255"/>
      <c r="AW108" s="244"/>
      <c r="AX108" s="244"/>
      <c r="AY108" s="244"/>
    </row>
    <row r="109" spans="1:51" s="50" customFormat="1" ht="66.75" customHeight="1">
      <c r="A109" s="373" t="s">
        <v>57</v>
      </c>
      <c r="B109" s="64" t="s">
        <v>534</v>
      </c>
      <c r="C109" s="65" t="s">
        <v>56</v>
      </c>
      <c r="D109" s="65" t="s">
        <v>5</v>
      </c>
      <c r="E109" s="65"/>
      <c r="F109" s="90">
        <f>F110+F111+F112</f>
        <v>167317954</v>
      </c>
      <c r="G109" s="86"/>
      <c r="H109" s="90">
        <f>H110+H111+H112</f>
        <v>153973230.30987599</v>
      </c>
      <c r="I109" s="347"/>
      <c r="J109" s="347">
        <f>J110+J111+J112</f>
        <v>153973230.30987599</v>
      </c>
      <c r="K109" s="347">
        <f>K110+K111+K112</f>
        <v>156013039.197164</v>
      </c>
      <c r="L109" s="347">
        <f t="shared" ref="L109:N109" si="158">L110+L111+L112</f>
        <v>223331250.94999999</v>
      </c>
      <c r="M109" s="124">
        <f t="shared" si="144"/>
        <v>1.450455059626526</v>
      </c>
      <c r="N109" s="347">
        <f t="shared" si="158"/>
        <v>85446906.950000003</v>
      </c>
      <c r="O109" s="121">
        <f t="shared" si="96"/>
        <v>0.55494651101386516</v>
      </c>
      <c r="P109" s="66">
        <f t="shared" ref="P109" si="159">SUM(P110,P111,P112)</f>
        <v>137546144</v>
      </c>
      <c r="Q109" s="67">
        <f t="shared" si="130"/>
        <v>0.89331206290329845</v>
      </c>
      <c r="R109" s="66">
        <f t="shared" ref="R109" si="160">SUM(R110,R111,R112)</f>
        <v>104608123</v>
      </c>
      <c r="S109" s="67">
        <f t="shared" si="131"/>
        <v>0.67939162404706877</v>
      </c>
      <c r="T109" s="66">
        <f t="shared" ref="T109:X109" si="161">SUM(T110,T111,T112)</f>
        <v>6350396.9600000009</v>
      </c>
      <c r="U109" s="66">
        <f t="shared" si="161"/>
        <v>0</v>
      </c>
      <c r="V109" s="66">
        <f t="shared" si="161"/>
        <v>30980049.98</v>
      </c>
      <c r="W109" s="66">
        <f t="shared" si="161"/>
        <v>24409</v>
      </c>
      <c r="X109" s="66">
        <f t="shared" si="161"/>
        <v>62567</v>
      </c>
      <c r="Y109" s="66">
        <f t="shared" si="97"/>
        <v>37267879.939999998</v>
      </c>
      <c r="Z109" s="66">
        <f t="shared" si="111"/>
        <v>6374805.9600000009</v>
      </c>
      <c r="AA109" s="66">
        <f t="shared" ref="AA109" si="162">SUM(AA110,AA111,AA112)</f>
        <v>338200</v>
      </c>
      <c r="AB109" s="128">
        <f>AA109/J109</f>
        <v>2.1964857093623468E-3</v>
      </c>
      <c r="AC109" s="66">
        <f>SUM(AC110,AC111,AC112)</f>
        <v>37330446.939999998</v>
      </c>
      <c r="AD109" s="67">
        <f t="shared" si="146"/>
        <v>0.24244764407989164</v>
      </c>
      <c r="AE109" s="133"/>
      <c r="AF109" s="56">
        <f t="shared" si="133"/>
        <v>49365107.309875995</v>
      </c>
      <c r="AG109" s="57">
        <f t="shared" si="134"/>
        <v>0.32060837595293129</v>
      </c>
      <c r="AH109" s="93"/>
      <c r="AI109" s="99"/>
      <c r="AJ109" s="237" t="s">
        <v>408</v>
      </c>
      <c r="AK109" s="347">
        <f>AK110+AK111+AK112</f>
        <v>19465184.471780889</v>
      </c>
      <c r="AL109" s="90">
        <f>AL110+AL111+AL112</f>
        <v>20000000</v>
      </c>
      <c r="AM109" s="290">
        <f>AL109/K109</f>
        <v>0.12819441312674307</v>
      </c>
      <c r="AN109" s="347" t="s">
        <v>433</v>
      </c>
      <c r="AO109" s="90">
        <f>AO110</f>
        <v>20000000</v>
      </c>
      <c r="AP109" s="90">
        <f>AP110+AP111+AP112</f>
        <v>20000000</v>
      </c>
      <c r="AQ109" s="90">
        <f>AQ110+AQ111+AQ112</f>
        <v>20000000</v>
      </c>
      <c r="AR109" s="290">
        <f t="shared" si="120"/>
        <v>0.12819441312674307</v>
      </c>
      <c r="AS109" s="291"/>
      <c r="AT109" s="291"/>
      <c r="AU109" s="390"/>
      <c r="AV109" s="260"/>
      <c r="AW109" s="244"/>
      <c r="AX109" s="244"/>
      <c r="AY109" s="244"/>
    </row>
    <row r="110" spans="1:51" ht="384.75" customHeight="1">
      <c r="A110" s="377" t="s">
        <v>242</v>
      </c>
      <c r="B110" s="345" t="s">
        <v>535</v>
      </c>
      <c r="C110" s="178" t="s">
        <v>56</v>
      </c>
      <c r="D110" s="178" t="s">
        <v>5</v>
      </c>
      <c r="E110" s="178"/>
      <c r="F110" s="349">
        <v>35843004</v>
      </c>
      <c r="G110" s="349">
        <v>51786945</v>
      </c>
      <c r="H110" s="195">
        <f>G110*G6</f>
        <v>36396072.093779996</v>
      </c>
      <c r="I110" s="195"/>
      <c r="J110" s="184">
        <v>36396072</v>
      </c>
      <c r="K110" s="184">
        <v>37396072</v>
      </c>
      <c r="L110" s="184">
        <v>49128248.049999997</v>
      </c>
      <c r="M110" s="179">
        <f t="shared" si="144"/>
        <v>1.3498228064281221</v>
      </c>
      <c r="N110" s="184">
        <v>15189010.050000001</v>
      </c>
      <c r="O110" s="180">
        <f t="shared" si="96"/>
        <v>0.41732553034843983</v>
      </c>
      <c r="P110" s="349">
        <v>33601038</v>
      </c>
      <c r="Q110" s="181">
        <f t="shared" si="130"/>
        <v>0.92320506454652584</v>
      </c>
      <c r="R110" s="182">
        <v>33601038</v>
      </c>
      <c r="S110" s="181">
        <f t="shared" si="131"/>
        <v>0.92320506454652584</v>
      </c>
      <c r="T110" s="182">
        <v>5246041.6500000004</v>
      </c>
      <c r="U110" s="182">
        <v>0</v>
      </c>
      <c r="V110" s="182">
        <v>10253256.939999999</v>
      </c>
      <c r="W110" s="182">
        <v>24409</v>
      </c>
      <c r="X110" s="182">
        <v>62567</v>
      </c>
      <c r="Y110" s="182">
        <f t="shared" si="97"/>
        <v>15436731.59</v>
      </c>
      <c r="Z110" s="184">
        <f>T110+U110+W110</f>
        <v>5270450.6500000004</v>
      </c>
      <c r="AA110" s="184">
        <v>338200</v>
      </c>
      <c r="AB110" s="196">
        <f>AA110/J110</f>
        <v>9.2922115331566541E-3</v>
      </c>
      <c r="AC110" s="184">
        <f>SUM(T110:V110)</f>
        <v>15499298.59</v>
      </c>
      <c r="AD110" s="181">
        <f t="shared" si="146"/>
        <v>0.42585086077420664</v>
      </c>
      <c r="AE110" s="179">
        <v>5.5862268337200016E-3</v>
      </c>
      <c r="AF110" s="185">
        <f t="shared" si="133"/>
        <v>2795034</v>
      </c>
      <c r="AG110" s="186">
        <f t="shared" si="134"/>
        <v>7.6794935453474211E-2</v>
      </c>
      <c r="AH110" s="190" t="s">
        <v>424</v>
      </c>
      <c r="AI110" s="205"/>
      <c r="AJ110" s="239" t="s">
        <v>408</v>
      </c>
      <c r="AK110" s="349">
        <f>(J110/K110)*AL110</f>
        <v>19465184.471780889</v>
      </c>
      <c r="AL110" s="349">
        <v>20000000</v>
      </c>
      <c r="AM110" s="207">
        <f>AL110/K110</f>
        <v>0.53481552821911349</v>
      </c>
      <c r="AN110" s="197"/>
      <c r="AO110" s="265">
        <v>20000000</v>
      </c>
      <c r="AP110" s="349">
        <v>15000000</v>
      </c>
      <c r="AQ110" s="349">
        <v>15000000</v>
      </c>
      <c r="AR110" s="207">
        <f t="shared" si="120"/>
        <v>0.40111164616433514</v>
      </c>
      <c r="AS110" s="349" t="s">
        <v>433</v>
      </c>
      <c r="AT110" s="327" t="s">
        <v>719</v>
      </c>
      <c r="AU110" s="391"/>
      <c r="AV110" s="261"/>
    </row>
    <row r="111" spans="1:51" ht="84" customHeight="1">
      <c r="A111" s="375" t="s">
        <v>223</v>
      </c>
      <c r="B111" s="69" t="s">
        <v>536</v>
      </c>
      <c r="C111" s="70" t="s">
        <v>56</v>
      </c>
      <c r="D111" s="70" t="s">
        <v>5</v>
      </c>
      <c r="E111" s="70"/>
      <c r="F111" s="348">
        <v>4919628</v>
      </c>
      <c r="G111" s="348">
        <v>6213055</v>
      </c>
      <c r="H111" s="79">
        <f>G111*G6</f>
        <v>4366559.9062200002</v>
      </c>
      <c r="I111" s="76"/>
      <c r="J111" s="76">
        <v>4366560</v>
      </c>
      <c r="K111" s="76">
        <v>4366560</v>
      </c>
      <c r="L111" s="76">
        <v>4228863</v>
      </c>
      <c r="M111" s="125">
        <f t="shared" si="144"/>
        <v>0.96846556557106733</v>
      </c>
      <c r="N111" s="76">
        <v>84351</v>
      </c>
      <c r="O111" s="127">
        <f t="shared" si="96"/>
        <v>1.9317494778498406E-2</v>
      </c>
      <c r="P111" s="348">
        <v>4144512</v>
      </c>
      <c r="Q111" s="73">
        <f t="shared" si="130"/>
        <v>0.94914807079256902</v>
      </c>
      <c r="R111" s="76">
        <v>4144512</v>
      </c>
      <c r="S111" s="73">
        <f t="shared" si="131"/>
        <v>0.94914807079256902</v>
      </c>
      <c r="T111" s="76">
        <v>914555.31</v>
      </c>
      <c r="U111" s="76">
        <v>0</v>
      </c>
      <c r="V111" s="76">
        <v>1034477.6</v>
      </c>
      <c r="W111" s="76">
        <v>0</v>
      </c>
      <c r="X111" s="76">
        <v>0</v>
      </c>
      <c r="Y111" s="76">
        <f t="shared" si="97"/>
        <v>1949032.9100000001</v>
      </c>
      <c r="Z111" s="110">
        <f t="shared" si="111"/>
        <v>914555.31</v>
      </c>
      <c r="AA111" s="110"/>
      <c r="AB111" s="134"/>
      <c r="AC111" s="110">
        <f t="shared" ref="AC111" si="163">SUM(T111:V111)</f>
        <v>1949032.9100000001</v>
      </c>
      <c r="AD111" s="73">
        <f t="shared" si="146"/>
        <v>0.44635431781539703</v>
      </c>
      <c r="AE111" s="125">
        <v>2.6385174053717032E-2</v>
      </c>
      <c r="AF111" s="166">
        <f t="shared" si="133"/>
        <v>222048</v>
      </c>
      <c r="AG111" s="167">
        <f t="shared" si="134"/>
        <v>5.0851929207431021E-2</v>
      </c>
      <c r="AH111" s="148" t="s">
        <v>350</v>
      </c>
      <c r="AI111" s="154"/>
      <c r="AJ111" s="238" t="s">
        <v>409</v>
      </c>
      <c r="AK111" s="348">
        <v>0</v>
      </c>
      <c r="AL111" s="348">
        <v>0</v>
      </c>
      <c r="AM111" s="125">
        <v>0</v>
      </c>
      <c r="AN111" s="348"/>
      <c r="AO111" s="348">
        <v>0</v>
      </c>
      <c r="AP111" s="92"/>
      <c r="AQ111" s="92"/>
      <c r="AR111" s="125">
        <f t="shared" si="120"/>
        <v>0</v>
      </c>
      <c r="AS111" s="92"/>
      <c r="AT111" s="92"/>
      <c r="AU111" s="382"/>
      <c r="AV111" s="256"/>
      <c r="AW111" s="42"/>
      <c r="AX111" s="42"/>
      <c r="AY111" s="42"/>
    </row>
    <row r="112" spans="1:51" s="50" customFormat="1" ht="49.5">
      <c r="A112" s="392" t="s">
        <v>58</v>
      </c>
      <c r="B112" s="328" t="s">
        <v>537</v>
      </c>
      <c r="C112" s="329" t="s">
        <v>56</v>
      </c>
      <c r="D112" s="329" t="s">
        <v>5</v>
      </c>
      <c r="E112" s="329"/>
      <c r="F112" s="91">
        <f>F113+F114</f>
        <v>126555322</v>
      </c>
      <c r="G112" s="91">
        <f>G113+G114</f>
        <v>161084169</v>
      </c>
      <c r="H112" s="91">
        <f>H113+H114</f>
        <v>113210598.30987599</v>
      </c>
      <c r="I112" s="91"/>
      <c r="J112" s="91">
        <f>J113+J114</f>
        <v>113210598.30987599</v>
      </c>
      <c r="K112" s="91">
        <f>K113+K114</f>
        <v>114250407.197164</v>
      </c>
      <c r="L112" s="91">
        <f t="shared" ref="L112:N112" si="164">L113+L114</f>
        <v>169974139.90000001</v>
      </c>
      <c r="M112" s="232">
        <f t="shared" si="144"/>
        <v>1.5013977705051331</v>
      </c>
      <c r="N112" s="91">
        <f t="shared" si="164"/>
        <v>70173545.900000006</v>
      </c>
      <c r="O112" s="330">
        <f t="shared" si="96"/>
        <v>0.61984961609268674</v>
      </c>
      <c r="P112" s="91">
        <f>P113+P114</f>
        <v>99800594</v>
      </c>
      <c r="Q112" s="331">
        <f t="shared" si="130"/>
        <v>0.88154815441244638</v>
      </c>
      <c r="R112" s="91">
        <f>R113+R114</f>
        <v>66862573</v>
      </c>
      <c r="S112" s="331">
        <f t="shared" si="131"/>
        <v>0.59060347704360827</v>
      </c>
      <c r="T112" s="106">
        <f t="shared" ref="T112:X112" si="165">SUM(T113,T114)</f>
        <v>189800</v>
      </c>
      <c r="U112" s="106">
        <f t="shared" si="165"/>
        <v>0</v>
      </c>
      <c r="V112" s="106">
        <f t="shared" si="165"/>
        <v>19692315.440000001</v>
      </c>
      <c r="W112" s="106">
        <f t="shared" si="165"/>
        <v>0</v>
      </c>
      <c r="X112" s="106">
        <f t="shared" si="165"/>
        <v>0</v>
      </c>
      <c r="Y112" s="106">
        <f t="shared" si="97"/>
        <v>19882115.440000001</v>
      </c>
      <c r="Z112" s="332">
        <f>T112+U112+W112</f>
        <v>189800</v>
      </c>
      <c r="AA112" s="91">
        <f>AA113+AA114</f>
        <v>0</v>
      </c>
      <c r="AB112" s="333"/>
      <c r="AC112" s="106">
        <f>SUM(AC113,AC114)</f>
        <v>19882115.440000001</v>
      </c>
      <c r="AD112" s="331">
        <f t="shared" si="146"/>
        <v>0.17562061977253568</v>
      </c>
      <c r="AE112" s="334">
        <f>SUM(AE113,AE114)</f>
        <v>0</v>
      </c>
      <c r="AF112" s="335">
        <f t="shared" si="133"/>
        <v>46348025.309875995</v>
      </c>
      <c r="AG112" s="336">
        <f t="shared" si="134"/>
        <v>0.40939652295639178</v>
      </c>
      <c r="AH112" s="337"/>
      <c r="AI112" s="91"/>
      <c r="AJ112" s="338" t="s">
        <v>409</v>
      </c>
      <c r="AK112" s="91">
        <f>AK113+AK114</f>
        <v>0</v>
      </c>
      <c r="AL112" s="91">
        <f>AL113+AL114</f>
        <v>0</v>
      </c>
      <c r="AM112" s="339">
        <v>0</v>
      </c>
      <c r="AN112" s="345"/>
      <c r="AO112" s="345">
        <v>0</v>
      </c>
      <c r="AP112" s="348">
        <f>AP113+AP114</f>
        <v>5000000</v>
      </c>
      <c r="AQ112" s="348">
        <f>AQ113+AQ114</f>
        <v>5000000</v>
      </c>
      <c r="AR112" s="339">
        <f t="shared" si="120"/>
        <v>4.3763520171717279E-2</v>
      </c>
      <c r="AS112" s="51"/>
      <c r="AT112" s="51"/>
      <c r="AU112" s="382"/>
      <c r="AV112" s="256"/>
      <c r="AW112" s="244"/>
      <c r="AX112" s="244"/>
      <c r="AY112" s="244"/>
    </row>
    <row r="113" spans="1:51" ht="269.25" customHeight="1">
      <c r="A113" s="377" t="s">
        <v>59</v>
      </c>
      <c r="B113" s="345" t="s">
        <v>538</v>
      </c>
      <c r="C113" s="178" t="s">
        <v>56</v>
      </c>
      <c r="D113" s="178" t="s">
        <v>5</v>
      </c>
      <c r="E113" s="178"/>
      <c r="F113" s="182">
        <v>98443162</v>
      </c>
      <c r="G113" s="198">
        <v>146123578</v>
      </c>
      <c r="H113" s="182">
        <v>102696235.112712</v>
      </c>
      <c r="I113" s="182"/>
      <c r="J113" s="182">
        <v>102696235.112712</v>
      </c>
      <c r="K113" s="182">
        <v>103736044</v>
      </c>
      <c r="L113" s="182">
        <v>159459776.90000001</v>
      </c>
      <c r="M113" s="179">
        <f t="shared" si="144"/>
        <v>1.5527324514378589</v>
      </c>
      <c r="N113" s="182">
        <v>70173545.900000006</v>
      </c>
      <c r="O113" s="180">
        <f t="shared" si="96"/>
        <v>0.68331176720336995</v>
      </c>
      <c r="P113" s="349">
        <v>89286231</v>
      </c>
      <c r="Q113" s="181">
        <f t="shared" si="130"/>
        <v>0.86942068423448882</v>
      </c>
      <c r="R113" s="182">
        <v>56348210</v>
      </c>
      <c r="S113" s="181">
        <f t="shared" si="131"/>
        <v>0.54868817671997672</v>
      </c>
      <c r="T113" s="182">
        <v>0</v>
      </c>
      <c r="U113" s="182">
        <v>0</v>
      </c>
      <c r="V113" s="182">
        <v>19692315.440000001</v>
      </c>
      <c r="W113" s="182">
        <v>0</v>
      </c>
      <c r="X113" s="182">
        <v>0</v>
      </c>
      <c r="Y113" s="182">
        <f t="shared" si="97"/>
        <v>19692315.440000001</v>
      </c>
      <c r="Z113" s="184">
        <f t="shared" si="111"/>
        <v>0</v>
      </c>
      <c r="AA113" s="184"/>
      <c r="AB113" s="179"/>
      <c r="AC113" s="184">
        <f t="shared" ref="AC113:AC114" si="166">SUM(T113:V113)</f>
        <v>19692315.440000001</v>
      </c>
      <c r="AD113" s="181">
        <f t="shared" si="146"/>
        <v>0.19175304156366718</v>
      </c>
      <c r="AE113" s="179">
        <v>0</v>
      </c>
      <c r="AF113" s="185">
        <f t="shared" si="133"/>
        <v>46348025.112711996</v>
      </c>
      <c r="AG113" s="186">
        <f t="shared" si="134"/>
        <v>0.45131182328002328</v>
      </c>
      <c r="AH113" s="190" t="s">
        <v>351</v>
      </c>
      <c r="AI113" s="205"/>
      <c r="AJ113" s="239" t="s">
        <v>409</v>
      </c>
      <c r="AK113" s="349">
        <v>0</v>
      </c>
      <c r="AL113" s="349">
        <v>0</v>
      </c>
      <c r="AM113" s="207">
        <v>0</v>
      </c>
      <c r="AN113" s="197"/>
      <c r="AO113" s="265">
        <v>0</v>
      </c>
      <c r="AP113" s="349">
        <v>5000000</v>
      </c>
      <c r="AQ113" s="349">
        <v>5000000</v>
      </c>
      <c r="AR113" s="207">
        <f t="shared" si="120"/>
        <v>4.819925463901438E-2</v>
      </c>
      <c r="AS113" s="349" t="s">
        <v>408</v>
      </c>
      <c r="AT113" s="327" t="s">
        <v>716</v>
      </c>
      <c r="AU113" s="382"/>
      <c r="AV113" s="261"/>
    </row>
    <row r="114" spans="1:51" ht="100.9" customHeight="1">
      <c r="A114" s="375" t="s">
        <v>60</v>
      </c>
      <c r="B114" s="69" t="s">
        <v>539</v>
      </c>
      <c r="C114" s="70" t="s">
        <v>56</v>
      </c>
      <c r="D114" s="70" t="s">
        <v>5</v>
      </c>
      <c r="E114" s="70"/>
      <c r="F114" s="76">
        <v>28112160</v>
      </c>
      <c r="G114" s="83">
        <v>14960591</v>
      </c>
      <c r="H114" s="79">
        <v>10514363.197163999</v>
      </c>
      <c r="I114" s="76"/>
      <c r="J114" s="76">
        <v>10514363.197163999</v>
      </c>
      <c r="K114" s="76">
        <v>10514363.197163999</v>
      </c>
      <c r="L114" s="76">
        <v>10514363</v>
      </c>
      <c r="M114" s="125">
        <f t="shared" si="144"/>
        <v>0.99999998124812739</v>
      </c>
      <c r="N114" s="76"/>
      <c r="O114" s="127">
        <f t="shared" si="96"/>
        <v>0</v>
      </c>
      <c r="P114" s="348">
        <v>10514363</v>
      </c>
      <c r="Q114" s="73">
        <f t="shared" si="130"/>
        <v>0.99999998124812739</v>
      </c>
      <c r="R114" s="76">
        <v>10514363</v>
      </c>
      <c r="S114" s="73">
        <f t="shared" si="131"/>
        <v>0.99999998124812739</v>
      </c>
      <c r="T114" s="76">
        <v>189800</v>
      </c>
      <c r="U114" s="76">
        <v>0</v>
      </c>
      <c r="V114" s="76">
        <v>0</v>
      </c>
      <c r="W114" s="76">
        <v>0</v>
      </c>
      <c r="X114" s="76">
        <v>0</v>
      </c>
      <c r="Y114" s="76">
        <f t="shared" si="97"/>
        <v>189800</v>
      </c>
      <c r="Z114" s="110">
        <f t="shared" si="111"/>
        <v>189800</v>
      </c>
      <c r="AA114" s="110"/>
      <c r="AB114" s="134"/>
      <c r="AC114" s="110">
        <f t="shared" si="166"/>
        <v>189800</v>
      </c>
      <c r="AD114" s="73">
        <f t="shared" si="146"/>
        <v>1.805149740796419E-2</v>
      </c>
      <c r="AE114" s="125">
        <v>0</v>
      </c>
      <c r="AF114" s="166">
        <f t="shared" si="133"/>
        <v>0.19716399908065796</v>
      </c>
      <c r="AG114" s="167">
        <f t="shared" si="134"/>
        <v>1.8751872594037676E-8</v>
      </c>
      <c r="AH114" s="148" t="s">
        <v>352</v>
      </c>
      <c r="AI114" s="154"/>
      <c r="AJ114" s="238" t="s">
        <v>409</v>
      </c>
      <c r="AK114" s="348">
        <v>0</v>
      </c>
      <c r="AL114" s="348">
        <v>0</v>
      </c>
      <c r="AM114" s="125">
        <v>0</v>
      </c>
      <c r="AN114" s="348"/>
      <c r="AO114" s="348">
        <v>0</v>
      </c>
      <c r="AP114" s="92"/>
      <c r="AQ114" s="92"/>
      <c r="AR114" s="125">
        <f t="shared" si="120"/>
        <v>0</v>
      </c>
      <c r="AS114" s="92"/>
      <c r="AT114" s="92"/>
      <c r="AU114" s="382"/>
      <c r="AV114" s="256"/>
      <c r="AW114" s="42"/>
      <c r="AX114" s="42"/>
      <c r="AY114" s="42"/>
    </row>
    <row r="115" spans="1:51" s="50" customFormat="1">
      <c r="A115" s="373" t="s">
        <v>61</v>
      </c>
      <c r="B115" s="64" t="s">
        <v>540</v>
      </c>
      <c r="C115" s="65" t="s">
        <v>56</v>
      </c>
      <c r="D115" s="65" t="s">
        <v>155</v>
      </c>
      <c r="E115" s="65"/>
      <c r="F115" s="347">
        <f>F116+F120+F125+F127</f>
        <v>160218227.47256398</v>
      </c>
      <c r="G115" s="347">
        <v>233396587</v>
      </c>
      <c r="H115" s="347">
        <f>G115*G6</f>
        <v>164032054.929948</v>
      </c>
      <c r="I115" s="347"/>
      <c r="J115" s="347">
        <f>J116+J120+J125+J127</f>
        <v>164032055</v>
      </c>
      <c r="K115" s="347">
        <f>K116+K120+K125+K127</f>
        <v>164032055</v>
      </c>
      <c r="L115" s="347">
        <f t="shared" ref="L115:N115" si="167">L116+L120+L125+L127</f>
        <v>290451573.26999998</v>
      </c>
      <c r="M115" s="124">
        <f>L115/J115</f>
        <v>1.770700082188204</v>
      </c>
      <c r="N115" s="347">
        <f t="shared" si="167"/>
        <v>125292872.58000001</v>
      </c>
      <c r="O115" s="121">
        <f>N115/J115</f>
        <v>0.76383163388399911</v>
      </c>
      <c r="P115" s="66">
        <f t="shared" ref="P115" si="168">P116+P120+P125+P127</f>
        <v>136020678.09</v>
      </c>
      <c r="Q115" s="67">
        <f>P115/J115</f>
        <v>0.82923229907715301</v>
      </c>
      <c r="R115" s="66">
        <f t="shared" ref="R115" si="169">R116+R120+R125+R127</f>
        <v>135860042.60000002</v>
      </c>
      <c r="S115" s="67">
        <f>R115/J115</f>
        <v>0.82825300579206929</v>
      </c>
      <c r="T115" s="66">
        <f t="shared" ref="T115:V115" si="170">T116+T120+T125+T127</f>
        <v>29436126.120000001</v>
      </c>
      <c r="U115" s="66">
        <f t="shared" si="170"/>
        <v>26968766.829999998</v>
      </c>
      <c r="V115" s="66">
        <f t="shared" si="170"/>
        <v>208797.1</v>
      </c>
      <c r="W115" s="66">
        <f>W116+W120+W125+W127</f>
        <v>133180.03</v>
      </c>
      <c r="X115" s="66">
        <f>X116+X120+X125+X127</f>
        <v>4677025.57</v>
      </c>
      <c r="Y115" s="66">
        <f t="shared" si="97"/>
        <v>51936664.480000004</v>
      </c>
      <c r="Z115" s="66">
        <f t="shared" si="111"/>
        <v>56538072.980000004</v>
      </c>
      <c r="AA115" s="66">
        <f t="shared" ref="AA115" si="171">AA116+AA120+AA125+AA127</f>
        <v>27914855.41</v>
      </c>
      <c r="AB115" s="128">
        <f>AA115/J115</f>
        <v>0.17017927020422929</v>
      </c>
      <c r="AC115" s="66">
        <f>AC116+AC120+AC125+AC127</f>
        <v>56613690.050000004</v>
      </c>
      <c r="AD115" s="67">
        <f>AC115/J115</f>
        <v>0.34513796739301966</v>
      </c>
      <c r="AE115" s="133"/>
      <c r="AF115" s="56">
        <f t="shared" si="133"/>
        <v>28172012.399999976</v>
      </c>
      <c r="AG115" s="57">
        <f t="shared" si="134"/>
        <v>0.17174699420793074</v>
      </c>
      <c r="AH115" s="93"/>
      <c r="AI115" s="99"/>
      <c r="AJ115" s="237" t="s">
        <v>408</v>
      </c>
      <c r="AK115" s="347">
        <f>AK116+AK120+AK125+AK127</f>
        <v>29056323.800000001</v>
      </c>
      <c r="AL115" s="347">
        <f>AL116+AL120+AL125+AL127</f>
        <v>29056323.800000001</v>
      </c>
      <c r="AM115" s="124">
        <f>AL115/K115</f>
        <v>0.17713808316307444</v>
      </c>
      <c r="AN115" s="124"/>
      <c r="AO115" s="347">
        <f>AO116+AO120+AO125+AO127</f>
        <v>23056323.800000001</v>
      </c>
      <c r="AP115" s="347">
        <f>AP116+AP120+AP125+AP127</f>
        <v>28086882</v>
      </c>
      <c r="AQ115" s="347">
        <f>AQ116+AQ120+AQ125+AQ127</f>
        <v>23056324</v>
      </c>
      <c r="AR115" s="124">
        <f t="shared" si="120"/>
        <v>0.1405598680087255</v>
      </c>
      <c r="AS115" s="93"/>
      <c r="AT115" s="93"/>
      <c r="AU115" s="380"/>
      <c r="AV115" s="255"/>
      <c r="AW115" s="244"/>
      <c r="AX115" s="244"/>
      <c r="AY115" s="244"/>
    </row>
    <row r="116" spans="1:51" s="50" customFormat="1" ht="50.45" customHeight="1">
      <c r="A116" s="381" t="s">
        <v>62</v>
      </c>
      <c r="B116" s="74" t="s">
        <v>541</v>
      </c>
      <c r="C116" s="75" t="s">
        <v>56</v>
      </c>
      <c r="D116" s="75" t="s">
        <v>155</v>
      </c>
      <c r="E116" s="75"/>
      <c r="F116" s="348">
        <f>F117+F118+F119</f>
        <v>38443378.799999997</v>
      </c>
      <c r="G116" s="348">
        <v>55890644</v>
      </c>
      <c r="H116" s="91">
        <f>H117+H118+H119</f>
        <v>39280168.165775999</v>
      </c>
      <c r="I116" s="348"/>
      <c r="J116" s="348">
        <f>J117+J118+J119</f>
        <v>39280168</v>
      </c>
      <c r="K116" s="348">
        <f>K117+K118+K119</f>
        <v>39280168</v>
      </c>
      <c r="L116" s="348">
        <f t="shared" ref="L116:N116" si="172">L117+L118+L119</f>
        <v>52514162.359999999</v>
      </c>
      <c r="M116" s="125">
        <f t="shared" si="144"/>
        <v>1.3369128757290447</v>
      </c>
      <c r="N116" s="348">
        <f t="shared" si="172"/>
        <v>13234328.060000001</v>
      </c>
      <c r="O116" s="127">
        <f t="shared" si="96"/>
        <v>0.33692137111022541</v>
      </c>
      <c r="P116" s="78">
        <f t="shared" ref="P116" si="173">P117+P118+P119</f>
        <v>39279834.300000004</v>
      </c>
      <c r="Q116" s="67">
        <f t="shared" si="130"/>
        <v>0.99999150461881947</v>
      </c>
      <c r="R116" s="78">
        <f t="shared" ref="R116" si="174">R117+R118+R119</f>
        <v>39279834.300000004</v>
      </c>
      <c r="S116" s="73">
        <f t="shared" si="131"/>
        <v>0.99999150461881947</v>
      </c>
      <c r="T116" s="78">
        <f t="shared" ref="T116:X116" si="175">T117+T118+T119</f>
        <v>739672.40999999992</v>
      </c>
      <c r="U116" s="78">
        <f t="shared" si="175"/>
        <v>10893268.09</v>
      </c>
      <c r="V116" s="78">
        <f t="shared" si="175"/>
        <v>208797.1</v>
      </c>
      <c r="W116" s="78">
        <f t="shared" si="175"/>
        <v>133180.03</v>
      </c>
      <c r="X116" s="78">
        <f t="shared" si="175"/>
        <v>0</v>
      </c>
      <c r="Y116" s="78">
        <f>AC116-X116</f>
        <v>11841737.600000001</v>
      </c>
      <c r="Z116" s="111">
        <f t="shared" si="111"/>
        <v>11766120.529999999</v>
      </c>
      <c r="AA116" s="78">
        <f t="shared" ref="AA116" si="176">AA117+AA118+AA119</f>
        <v>210393.91</v>
      </c>
      <c r="AB116" s="131">
        <f>AA116/J116</f>
        <v>5.3562375293303224E-3</v>
      </c>
      <c r="AC116" s="78">
        <f>AC117+AC118+AC119</f>
        <v>11841737.600000001</v>
      </c>
      <c r="AD116" s="67">
        <f t="shared" si="146"/>
        <v>0.30146860879006426</v>
      </c>
      <c r="AE116" s="136"/>
      <c r="AF116" s="166">
        <f t="shared" si="133"/>
        <v>333.69999999552965</v>
      </c>
      <c r="AG116" s="167">
        <f t="shared" si="134"/>
        <v>8.4953811805369477E-6</v>
      </c>
      <c r="AH116" s="92"/>
      <c r="AI116" s="348"/>
      <c r="AJ116" s="238" t="s">
        <v>409</v>
      </c>
      <c r="AK116" s="348">
        <f>AK117+AK118+AK119</f>
        <v>0</v>
      </c>
      <c r="AL116" s="348">
        <f>AL117+AL118+AL119</f>
        <v>0</v>
      </c>
      <c r="AM116" s="125">
        <v>0</v>
      </c>
      <c r="AN116" s="348"/>
      <c r="AO116" s="348">
        <v>0</v>
      </c>
      <c r="AP116" s="348">
        <f>AP117+AP118+AP119</f>
        <v>0</v>
      </c>
      <c r="AQ116" s="348">
        <f>AQ117+AQ118+AQ119</f>
        <v>0</v>
      </c>
      <c r="AR116" s="125">
        <f t="shared" si="120"/>
        <v>0</v>
      </c>
      <c r="AS116" s="92"/>
      <c r="AT116" s="92"/>
      <c r="AU116" s="382"/>
      <c r="AV116" s="256"/>
    </row>
    <row r="117" spans="1:51" ht="33.6" customHeight="1">
      <c r="A117" s="375" t="s">
        <v>217</v>
      </c>
      <c r="B117" s="69" t="s">
        <v>542</v>
      </c>
      <c r="C117" s="70" t="s">
        <v>56</v>
      </c>
      <c r="D117" s="70" t="s">
        <v>155</v>
      </c>
      <c r="E117" s="70"/>
      <c r="F117" s="76">
        <v>36320910.719999999</v>
      </c>
      <c r="G117" s="76">
        <v>53178191</v>
      </c>
      <c r="H117" s="79">
        <f>G117*G6</f>
        <v>37373845.347563997</v>
      </c>
      <c r="I117" s="76"/>
      <c r="J117" s="76">
        <v>37373845</v>
      </c>
      <c r="K117" s="76">
        <v>37373845</v>
      </c>
      <c r="L117" s="76">
        <v>50235585.450000003</v>
      </c>
      <c r="M117" s="125">
        <f t="shared" si="144"/>
        <v>1.3441374696662867</v>
      </c>
      <c r="N117" s="76">
        <v>12862032.99</v>
      </c>
      <c r="O117" s="127">
        <f t="shared" si="96"/>
        <v>0.34414529706536751</v>
      </c>
      <c r="P117" s="348">
        <v>37373552.460000001</v>
      </c>
      <c r="Q117" s="73">
        <f t="shared" si="130"/>
        <v>0.99999217260091922</v>
      </c>
      <c r="R117" s="348">
        <v>37373552.460000001</v>
      </c>
      <c r="S117" s="73">
        <f t="shared" si="131"/>
        <v>0.99999217260091922</v>
      </c>
      <c r="T117" s="76">
        <v>140930.54999999999</v>
      </c>
      <c r="U117" s="76">
        <v>10893268.09</v>
      </c>
      <c r="V117" s="76">
        <v>0</v>
      </c>
      <c r="W117" s="76">
        <v>0</v>
      </c>
      <c r="X117" s="76">
        <v>0</v>
      </c>
      <c r="Y117" s="76">
        <f t="shared" ref="Y117:Y150" si="177">AC117-X117</f>
        <v>11034198.640000001</v>
      </c>
      <c r="Z117" s="110">
        <f t="shared" si="111"/>
        <v>11034198.640000001</v>
      </c>
      <c r="AA117" s="110"/>
      <c r="AB117" s="134"/>
      <c r="AC117" s="111">
        <f t="shared" ref="AC117:AC119" si="178">SUM(T117:V117)</f>
        <v>11034198.640000001</v>
      </c>
      <c r="AD117" s="73">
        <f t="shared" si="146"/>
        <v>0.29523851880907626</v>
      </c>
      <c r="AE117" s="125">
        <v>1.6909086650682145E-6</v>
      </c>
      <c r="AF117" s="166">
        <f t="shared" si="133"/>
        <v>292.53999999910593</v>
      </c>
      <c r="AG117" s="167">
        <f t="shared" si="134"/>
        <v>7.8273990808038595E-6</v>
      </c>
      <c r="AH117" s="140" t="s">
        <v>320</v>
      </c>
      <c r="AI117" s="140"/>
      <c r="AJ117" s="238" t="s">
        <v>409</v>
      </c>
      <c r="AK117" s="348">
        <v>0</v>
      </c>
      <c r="AL117" s="348">
        <v>0</v>
      </c>
      <c r="AM117" s="125">
        <v>0</v>
      </c>
      <c r="AN117" s="348"/>
      <c r="AO117" s="348">
        <v>0</v>
      </c>
      <c r="AP117" s="92"/>
      <c r="AQ117" s="92"/>
      <c r="AR117" s="125">
        <f t="shared" si="120"/>
        <v>0</v>
      </c>
      <c r="AS117" s="92"/>
      <c r="AT117" s="92"/>
      <c r="AU117" s="382"/>
      <c r="AV117" s="256"/>
      <c r="AW117" s="42"/>
      <c r="AX117" s="42"/>
      <c r="AY117" s="42"/>
    </row>
    <row r="118" spans="1:51" ht="78" customHeight="1">
      <c r="A118" s="375" t="s">
        <v>194</v>
      </c>
      <c r="B118" s="69" t="s">
        <v>543</v>
      </c>
      <c r="C118" s="70" t="s">
        <v>56</v>
      </c>
      <c r="D118" s="70" t="s">
        <v>155</v>
      </c>
      <c r="E118" s="70"/>
      <c r="F118" s="348">
        <v>2122468.08</v>
      </c>
      <c r="G118" s="348">
        <v>2712453</v>
      </c>
      <c r="H118" s="79">
        <f>G118*G6</f>
        <v>1906322.818212</v>
      </c>
      <c r="I118" s="76"/>
      <c r="J118" s="76">
        <v>1906323</v>
      </c>
      <c r="K118" s="76">
        <v>1906323</v>
      </c>
      <c r="L118" s="76">
        <v>2278576.91</v>
      </c>
      <c r="M118" s="125">
        <f t="shared" si="144"/>
        <v>1.1952732616665698</v>
      </c>
      <c r="N118" s="76">
        <v>372295.07</v>
      </c>
      <c r="O118" s="127">
        <f t="shared" si="96"/>
        <v>0.1952948529708764</v>
      </c>
      <c r="P118" s="348">
        <v>1906281.84</v>
      </c>
      <c r="Q118" s="73">
        <f t="shared" si="130"/>
        <v>0.99997840869569332</v>
      </c>
      <c r="R118" s="76">
        <v>1906281.84</v>
      </c>
      <c r="S118" s="73">
        <f t="shared" si="131"/>
        <v>0.99997840869569332</v>
      </c>
      <c r="T118" s="76">
        <v>598741.86</v>
      </c>
      <c r="U118" s="76">
        <v>0</v>
      </c>
      <c r="V118" s="76">
        <v>208797.1</v>
      </c>
      <c r="W118" s="76">
        <v>133180.03</v>
      </c>
      <c r="X118" s="76">
        <v>0</v>
      </c>
      <c r="Y118" s="76">
        <f t="shared" si="177"/>
        <v>807538.96</v>
      </c>
      <c r="Z118" s="110">
        <f t="shared" si="111"/>
        <v>731921.89</v>
      </c>
      <c r="AA118" s="110">
        <v>210393.91</v>
      </c>
      <c r="AB118" s="131">
        <f>AA118/J118</f>
        <v>0.11036634924931399</v>
      </c>
      <c r="AC118" s="111">
        <f t="shared" si="178"/>
        <v>807538.96</v>
      </c>
      <c r="AD118" s="73">
        <f t="shared" si="146"/>
        <v>0.42361077320055412</v>
      </c>
      <c r="AE118" s="125">
        <v>1.3223086741038972E-2</v>
      </c>
      <c r="AF118" s="166">
        <f t="shared" si="133"/>
        <v>41.159999999916181</v>
      </c>
      <c r="AG118" s="167">
        <f t="shared" si="134"/>
        <v>2.1591304306728806E-5</v>
      </c>
      <c r="AH118" s="139" t="s">
        <v>419</v>
      </c>
      <c r="AI118" s="139"/>
      <c r="AJ118" s="238" t="s">
        <v>409</v>
      </c>
      <c r="AK118" s="348">
        <v>0</v>
      </c>
      <c r="AL118" s="348">
        <v>0</v>
      </c>
      <c r="AM118" s="125">
        <v>0</v>
      </c>
      <c r="AN118" s="348"/>
      <c r="AO118" s="348">
        <v>0</v>
      </c>
      <c r="AP118" s="92"/>
      <c r="AQ118" s="92"/>
      <c r="AR118" s="125">
        <f t="shared" si="120"/>
        <v>0</v>
      </c>
      <c r="AS118" s="92"/>
      <c r="AT118" s="92"/>
      <c r="AU118" s="382"/>
      <c r="AV118" s="256"/>
      <c r="AW118" s="42"/>
      <c r="AX118" s="42"/>
      <c r="AY118" s="42"/>
    </row>
    <row r="119" spans="1:51" ht="33.6" customHeight="1">
      <c r="A119" s="375" t="s">
        <v>63</v>
      </c>
      <c r="B119" s="69" t="s">
        <v>544</v>
      </c>
      <c r="C119" s="70" t="s">
        <v>56</v>
      </c>
      <c r="D119" s="70" t="s">
        <v>155</v>
      </c>
      <c r="E119" s="70"/>
      <c r="F119" s="348">
        <v>0</v>
      </c>
      <c r="G119" s="348">
        <v>0</v>
      </c>
      <c r="H119" s="79">
        <v>0</v>
      </c>
      <c r="I119" s="76"/>
      <c r="J119" s="76">
        <v>0</v>
      </c>
      <c r="K119" s="76">
        <v>0</v>
      </c>
      <c r="L119" s="76"/>
      <c r="M119" s="125" t="e">
        <f t="shared" si="144"/>
        <v>#DIV/0!</v>
      </c>
      <c r="N119" s="76"/>
      <c r="O119" s="127"/>
      <c r="P119" s="348">
        <v>0</v>
      </c>
      <c r="Q119" s="73">
        <v>0</v>
      </c>
      <c r="R119" s="76">
        <v>0</v>
      </c>
      <c r="S119" s="73"/>
      <c r="T119" s="76">
        <v>0</v>
      </c>
      <c r="U119" s="76">
        <v>0</v>
      </c>
      <c r="V119" s="76">
        <v>0</v>
      </c>
      <c r="W119" s="76">
        <v>0</v>
      </c>
      <c r="X119" s="76">
        <v>0</v>
      </c>
      <c r="Y119" s="76">
        <f t="shared" si="177"/>
        <v>0</v>
      </c>
      <c r="Z119" s="110">
        <f t="shared" si="111"/>
        <v>0</v>
      </c>
      <c r="AA119" s="110"/>
      <c r="AB119" s="134"/>
      <c r="AC119" s="111">
        <f t="shared" si="178"/>
        <v>0</v>
      </c>
      <c r="AD119" s="73">
        <v>0</v>
      </c>
      <c r="AE119" s="125"/>
      <c r="AF119" s="166">
        <f t="shared" si="133"/>
        <v>0</v>
      </c>
      <c r="AG119" s="167">
        <v>0</v>
      </c>
      <c r="AH119" s="92"/>
      <c r="AI119" s="348"/>
      <c r="AJ119" s="238" t="s">
        <v>409</v>
      </c>
      <c r="AK119" s="348">
        <v>0</v>
      </c>
      <c r="AL119" s="348">
        <v>0</v>
      </c>
      <c r="AM119" s="125">
        <v>0</v>
      </c>
      <c r="AN119" s="348"/>
      <c r="AO119" s="348">
        <v>0</v>
      </c>
      <c r="AP119" s="92"/>
      <c r="AQ119" s="92"/>
      <c r="AR119" s="125" t="e">
        <f t="shared" si="120"/>
        <v>#DIV/0!</v>
      </c>
      <c r="AS119" s="92"/>
      <c r="AT119" s="92"/>
      <c r="AU119" s="382"/>
      <c r="AV119" s="256"/>
      <c r="AW119" s="42"/>
      <c r="AX119" s="42"/>
      <c r="AY119" s="42"/>
    </row>
    <row r="120" spans="1:51" s="50" customFormat="1" ht="33.6" customHeight="1">
      <c r="A120" s="381" t="s">
        <v>64</v>
      </c>
      <c r="B120" s="74" t="s">
        <v>545</v>
      </c>
      <c r="C120" s="75" t="s">
        <v>56</v>
      </c>
      <c r="D120" s="75" t="s">
        <v>155</v>
      </c>
      <c r="E120" s="75"/>
      <c r="F120" s="348">
        <f>F121+F122+F123</f>
        <v>87984032.672563985</v>
      </c>
      <c r="G120" s="348">
        <v>77059917</v>
      </c>
      <c r="H120" s="91">
        <f>H121+H122+H123+H124</f>
        <v>54158017.907268003</v>
      </c>
      <c r="I120" s="348"/>
      <c r="J120" s="348">
        <f>J121+J122+J123+J124</f>
        <v>54158018</v>
      </c>
      <c r="K120" s="348">
        <f>K121+K122+K123+K124</f>
        <v>54158018</v>
      </c>
      <c r="L120" s="348">
        <f t="shared" ref="L120:N120" si="179">L121+L122+L123+L124</f>
        <v>99204044.100000009</v>
      </c>
      <c r="M120" s="125">
        <f t="shared" si="144"/>
        <v>1.8317517472666744</v>
      </c>
      <c r="N120" s="348">
        <f t="shared" si="179"/>
        <v>46347405.640000001</v>
      </c>
      <c r="O120" s="127">
        <f t="shared" si="96"/>
        <v>0.85578105240114222</v>
      </c>
      <c r="P120" s="78">
        <f t="shared" ref="P120" si="180">P121+P122+P123</f>
        <v>46788498.990000002</v>
      </c>
      <c r="Q120" s="73">
        <f>P120/J120</f>
        <v>0.86392561467075846</v>
      </c>
      <c r="R120" s="78">
        <f t="shared" ref="R120" si="181">R121+R122+R123</f>
        <v>46627863.5</v>
      </c>
      <c r="S120" s="73">
        <f>R120/J120</f>
        <v>0.86095956281117969</v>
      </c>
      <c r="T120" s="78">
        <f t="shared" ref="T120:X120" si="182">T121+T122+T123</f>
        <v>10568845.359999999</v>
      </c>
      <c r="U120" s="78">
        <f t="shared" si="182"/>
        <v>1388006.4400000002</v>
      </c>
      <c r="V120" s="78">
        <f t="shared" si="182"/>
        <v>0</v>
      </c>
      <c r="W120" s="78">
        <f t="shared" si="182"/>
        <v>0</v>
      </c>
      <c r="X120" s="78">
        <f t="shared" si="182"/>
        <v>110331.2</v>
      </c>
      <c r="Y120" s="78">
        <f t="shared" si="177"/>
        <v>11846520.600000001</v>
      </c>
      <c r="Z120" s="111">
        <f t="shared" si="111"/>
        <v>11956851.799999999</v>
      </c>
      <c r="AA120" s="78">
        <f t="shared" ref="AA120" si="183">AA121+AA122+AA123</f>
        <v>6713121.2000000002</v>
      </c>
      <c r="AB120" s="131">
        <f>AA120/J120</f>
        <v>0.12395433673366703</v>
      </c>
      <c r="AC120" s="78">
        <f>AC121+AC122+AC123</f>
        <v>11956851.800000001</v>
      </c>
      <c r="AD120" s="73">
        <f>AC120/J120</f>
        <v>0.22077713035953422</v>
      </c>
      <c r="AE120" s="136"/>
      <c r="AF120" s="166">
        <f t="shared" si="133"/>
        <v>7530154.5</v>
      </c>
      <c r="AG120" s="167">
        <f>AF120/J120</f>
        <v>0.13904043718882031</v>
      </c>
      <c r="AH120" s="92"/>
      <c r="AI120" s="348"/>
      <c r="AJ120" s="238" t="s">
        <v>409</v>
      </c>
      <c r="AK120" s="348">
        <f>AK121+AK122+AK123+AK124</f>
        <v>8937550</v>
      </c>
      <c r="AL120" s="348">
        <f>AL121+AL122+AL123+AL124</f>
        <v>8937550</v>
      </c>
      <c r="AM120" s="125">
        <f>AL120/K120</f>
        <v>0.16502727260070707</v>
      </c>
      <c r="AN120" s="348"/>
      <c r="AO120" s="348">
        <f>AO121+AO122+AO123+AO124</f>
        <v>8937550</v>
      </c>
      <c r="AP120" s="348">
        <f>AP121+AP122+AP123+AP124</f>
        <v>0</v>
      </c>
      <c r="AQ120" s="348">
        <f>AQ121+AQ122+AQ123+AQ124</f>
        <v>0</v>
      </c>
      <c r="AR120" s="125">
        <f t="shared" si="120"/>
        <v>0</v>
      </c>
      <c r="AS120" s="92"/>
      <c r="AT120" s="92"/>
      <c r="AU120" s="382"/>
      <c r="AV120" s="256"/>
    </row>
    <row r="121" spans="1:51" ht="62.45" customHeight="1">
      <c r="A121" s="375" t="s">
        <v>243</v>
      </c>
      <c r="B121" s="69" t="s">
        <v>546</v>
      </c>
      <c r="C121" s="70" t="s">
        <v>56</v>
      </c>
      <c r="D121" s="70" t="s">
        <v>155</v>
      </c>
      <c r="E121" s="70"/>
      <c r="F121" s="76">
        <v>43386001.799999997</v>
      </c>
      <c r="G121" s="76">
        <v>10380567</v>
      </c>
      <c r="H121" s="79">
        <f>G121*G6</f>
        <v>7295504.0098679997</v>
      </c>
      <c r="I121" s="76"/>
      <c r="J121" s="76">
        <v>7295504</v>
      </c>
      <c r="K121" s="76">
        <v>7295504</v>
      </c>
      <c r="L121" s="76">
        <v>26639458.73</v>
      </c>
      <c r="M121" s="125">
        <f t="shared" si="144"/>
        <v>3.6514898394956674</v>
      </c>
      <c r="N121" s="76">
        <v>18785211.350000001</v>
      </c>
      <c r="O121" s="127">
        <f t="shared" si="96"/>
        <v>2.5749024810348953</v>
      </c>
      <c r="P121" s="348">
        <v>6724755.46</v>
      </c>
      <c r="Q121" s="73">
        <f>P121/J121</f>
        <v>0.92176708559134501</v>
      </c>
      <c r="R121" s="76">
        <v>6724755.46</v>
      </c>
      <c r="S121" s="73">
        <f>R121/J121</f>
        <v>0.92176708559134501</v>
      </c>
      <c r="T121" s="76">
        <v>4621337.01</v>
      </c>
      <c r="U121" s="76">
        <v>152923.82999999999</v>
      </c>
      <c r="V121" s="76">
        <v>0</v>
      </c>
      <c r="W121" s="76">
        <v>0</v>
      </c>
      <c r="X121" s="76">
        <v>6206.2</v>
      </c>
      <c r="Y121" s="76">
        <f t="shared" si="177"/>
        <v>4768054.6399999997</v>
      </c>
      <c r="Z121" s="110">
        <f t="shared" si="111"/>
        <v>4774260.84</v>
      </c>
      <c r="AA121" s="110">
        <v>1129491.92</v>
      </c>
      <c r="AB121" s="131">
        <f>AA121/J121</f>
        <v>0.15482027286942751</v>
      </c>
      <c r="AC121" s="111">
        <f t="shared" ref="AC121:AC123" si="184">SUM(T121:V121)</f>
        <v>4774260.84</v>
      </c>
      <c r="AD121" s="73">
        <f>AC121/J121</f>
        <v>0.65441137994030296</v>
      </c>
      <c r="AE121" s="125">
        <v>1.1616891327014696E-2</v>
      </c>
      <c r="AF121" s="166">
        <f t="shared" si="133"/>
        <v>570748.54</v>
      </c>
      <c r="AG121" s="167">
        <f>AF121/J121</f>
        <v>7.8232914408654985E-2</v>
      </c>
      <c r="AH121" s="139" t="s">
        <v>420</v>
      </c>
      <c r="AI121" s="139"/>
      <c r="AJ121" s="238" t="s">
        <v>409</v>
      </c>
      <c r="AK121" s="348">
        <v>0</v>
      </c>
      <c r="AL121" s="348">
        <v>0</v>
      </c>
      <c r="AM121" s="125">
        <v>0</v>
      </c>
      <c r="AN121" s="348"/>
      <c r="AO121" s="348">
        <v>0</v>
      </c>
      <c r="AP121" s="165"/>
      <c r="AQ121" s="165"/>
      <c r="AR121" s="125">
        <f t="shared" si="120"/>
        <v>0</v>
      </c>
      <c r="AS121" s="165"/>
      <c r="AT121" s="165"/>
      <c r="AU121" s="382"/>
      <c r="AV121" s="256"/>
      <c r="AW121" s="42"/>
      <c r="AX121" s="42"/>
      <c r="AY121" s="42"/>
    </row>
    <row r="122" spans="1:51" ht="131.25" customHeight="1">
      <c r="A122" s="377" t="s">
        <v>298</v>
      </c>
      <c r="B122" s="345" t="s">
        <v>547</v>
      </c>
      <c r="C122" s="178" t="s">
        <v>56</v>
      </c>
      <c r="D122" s="178" t="s">
        <v>155</v>
      </c>
      <c r="E122" s="178"/>
      <c r="F122" s="182">
        <v>43748030.899999999</v>
      </c>
      <c r="G122" s="182">
        <v>63584939</v>
      </c>
      <c r="H122" s="182">
        <f>G122*G6</f>
        <v>44687749.468956001</v>
      </c>
      <c r="I122" s="182"/>
      <c r="J122" s="182">
        <v>44687750</v>
      </c>
      <c r="K122" s="182">
        <v>44687750</v>
      </c>
      <c r="L122" s="182">
        <v>72220387.150000006</v>
      </c>
      <c r="M122" s="179">
        <f t="shared" si="144"/>
        <v>1.6161115104251167</v>
      </c>
      <c r="N122" s="182">
        <v>27430671.73</v>
      </c>
      <c r="O122" s="180">
        <f t="shared" si="96"/>
        <v>0.61382977952570894</v>
      </c>
      <c r="P122" s="349">
        <v>39984410.770000003</v>
      </c>
      <c r="Q122" s="181">
        <f>P122/J122</f>
        <v>0.89475103960257574</v>
      </c>
      <c r="R122" s="182">
        <v>39823775.280000001</v>
      </c>
      <c r="S122" s="181">
        <f>R122/J122</f>
        <v>0.89115641937667489</v>
      </c>
      <c r="T122" s="182">
        <v>5936870.6500000004</v>
      </c>
      <c r="U122" s="182">
        <v>1235082.6100000001</v>
      </c>
      <c r="V122" s="182">
        <v>0</v>
      </c>
      <c r="W122" s="182">
        <v>0</v>
      </c>
      <c r="X122" s="182">
        <v>104125</v>
      </c>
      <c r="Y122" s="182">
        <f t="shared" si="177"/>
        <v>7067828.2600000007</v>
      </c>
      <c r="Z122" s="184">
        <f t="shared" si="111"/>
        <v>7171953.2600000007</v>
      </c>
      <c r="AA122" s="184">
        <v>5444070.5800000001</v>
      </c>
      <c r="AB122" s="196">
        <f>AA122/J122</f>
        <v>0.12182467409972532</v>
      </c>
      <c r="AC122" s="199">
        <f t="shared" si="184"/>
        <v>7171953.2600000007</v>
      </c>
      <c r="AD122" s="181">
        <f>AC122/J122</f>
        <v>0.16049036391404806</v>
      </c>
      <c r="AE122" s="179">
        <v>1.8252674543044259E-2</v>
      </c>
      <c r="AF122" s="185">
        <f t="shared" si="133"/>
        <v>4863974.7199999988</v>
      </c>
      <c r="AG122" s="186">
        <f>AF122/J122</f>
        <v>0.10884358062332515</v>
      </c>
      <c r="AH122" s="200" t="s">
        <v>421</v>
      </c>
      <c r="AI122" s="200"/>
      <c r="AJ122" s="239" t="s">
        <v>408</v>
      </c>
      <c r="AK122" s="349">
        <f>J122*0.2</f>
        <v>8937550</v>
      </c>
      <c r="AL122" s="349">
        <f>K122*0.2</f>
        <v>8937550</v>
      </c>
      <c r="AM122" s="207">
        <v>0.2</v>
      </c>
      <c r="AN122" s="197"/>
      <c r="AO122" s="349">
        <v>8937550</v>
      </c>
      <c r="AP122" s="349">
        <v>0</v>
      </c>
      <c r="AQ122" s="349">
        <v>0</v>
      </c>
      <c r="AR122" s="207">
        <f t="shared" si="120"/>
        <v>0</v>
      </c>
      <c r="AS122" s="189" t="s">
        <v>433</v>
      </c>
      <c r="AT122" s="189" t="s">
        <v>728</v>
      </c>
      <c r="AU122" s="393"/>
      <c r="AV122" s="253"/>
    </row>
    <row r="123" spans="1:51" ht="84" customHeight="1">
      <c r="A123" s="375" t="s">
        <v>252</v>
      </c>
      <c r="B123" s="69" t="s">
        <v>548</v>
      </c>
      <c r="C123" s="70" t="s">
        <v>56</v>
      </c>
      <c r="D123" s="70" t="s">
        <v>155</v>
      </c>
      <c r="E123" s="70"/>
      <c r="F123" s="348">
        <v>849999.97256399994</v>
      </c>
      <c r="G123" s="348">
        <v>248667</v>
      </c>
      <c r="H123" s="79">
        <f>G123*G6</f>
        <v>174764.16226799999</v>
      </c>
      <c r="I123" s="76"/>
      <c r="J123" s="76">
        <v>174764</v>
      </c>
      <c r="K123" s="76">
        <v>174764</v>
      </c>
      <c r="L123" s="76">
        <v>344198.22</v>
      </c>
      <c r="M123" s="125">
        <f t="shared" si="144"/>
        <v>1.9695029868851708</v>
      </c>
      <c r="N123" s="76">
        <v>131522.56</v>
      </c>
      <c r="O123" s="127">
        <f t="shared" si="96"/>
        <v>0.75257238332837428</v>
      </c>
      <c r="P123" s="348">
        <v>79332.759999999995</v>
      </c>
      <c r="Q123" s="73">
        <f>P123/J123</f>
        <v>0.45394223066535438</v>
      </c>
      <c r="R123" s="76">
        <v>79332.759999999995</v>
      </c>
      <c r="S123" s="73">
        <f>R123/J123</f>
        <v>0.45394223066535438</v>
      </c>
      <c r="T123" s="76">
        <v>10637.7</v>
      </c>
      <c r="U123" s="76">
        <v>0</v>
      </c>
      <c r="V123" s="76">
        <v>0</v>
      </c>
      <c r="W123" s="76">
        <v>0</v>
      </c>
      <c r="X123" s="76">
        <v>0</v>
      </c>
      <c r="Y123" s="76">
        <f t="shared" si="177"/>
        <v>10637.7</v>
      </c>
      <c r="Z123" s="110">
        <f t="shared" si="111"/>
        <v>10637.7</v>
      </c>
      <c r="AA123" s="110">
        <v>139558.70000000001</v>
      </c>
      <c r="AB123" s="131">
        <f>AA123/J123</f>
        <v>0.79855519443363632</v>
      </c>
      <c r="AC123" s="111">
        <f t="shared" si="184"/>
        <v>10637.7</v>
      </c>
      <c r="AD123" s="73">
        <f>AC123/J123</f>
        <v>6.0868943260625766E-2</v>
      </c>
      <c r="AE123" s="125">
        <v>1.0597572014248849E-3</v>
      </c>
      <c r="AF123" s="166">
        <f t="shared" si="133"/>
        <v>95431.24</v>
      </c>
      <c r="AG123" s="167">
        <f>AF123/J123</f>
        <v>0.54605776933464556</v>
      </c>
      <c r="AH123" s="92"/>
      <c r="AI123" s="348"/>
      <c r="AJ123" s="238" t="s">
        <v>409</v>
      </c>
      <c r="AK123" s="348">
        <v>0</v>
      </c>
      <c r="AL123" s="348">
        <v>0</v>
      </c>
      <c r="AM123" s="125">
        <v>0</v>
      </c>
      <c r="AN123" s="348"/>
      <c r="AO123" s="348">
        <v>0</v>
      </c>
      <c r="AP123" s="92"/>
      <c r="AQ123" s="92"/>
      <c r="AR123" s="125">
        <f t="shared" si="120"/>
        <v>0</v>
      </c>
      <c r="AS123" s="92"/>
      <c r="AT123" s="92"/>
      <c r="AU123" s="382"/>
      <c r="AV123" s="256"/>
      <c r="AW123" s="42"/>
      <c r="AX123" s="42"/>
      <c r="AY123" s="42"/>
    </row>
    <row r="124" spans="1:51" ht="50.45" customHeight="1">
      <c r="A124" s="394" t="s">
        <v>218</v>
      </c>
      <c r="B124" s="103" t="s">
        <v>549</v>
      </c>
      <c r="C124" s="70" t="s">
        <v>56</v>
      </c>
      <c r="D124" s="70" t="s">
        <v>155</v>
      </c>
      <c r="E124" s="70"/>
      <c r="F124" s="348"/>
      <c r="G124" s="348">
        <v>2845744</v>
      </c>
      <c r="H124" s="79">
        <f>G124*G6</f>
        <v>2000000.266176</v>
      </c>
      <c r="I124" s="76"/>
      <c r="J124" s="76">
        <v>2000000</v>
      </c>
      <c r="K124" s="76">
        <v>2000000</v>
      </c>
      <c r="L124" s="76"/>
      <c r="M124" s="125">
        <f t="shared" si="144"/>
        <v>0</v>
      </c>
      <c r="N124" s="76"/>
      <c r="O124" s="127">
        <f t="shared" si="96"/>
        <v>0</v>
      </c>
      <c r="P124" s="348">
        <v>0</v>
      </c>
      <c r="Q124" s="73">
        <f>P124/J124</f>
        <v>0</v>
      </c>
      <c r="R124" s="76">
        <v>0</v>
      </c>
      <c r="S124" s="73">
        <f>R124/J124</f>
        <v>0</v>
      </c>
      <c r="T124" s="76"/>
      <c r="U124" s="76"/>
      <c r="V124" s="76"/>
      <c r="W124" s="76"/>
      <c r="X124" s="76"/>
      <c r="Y124" s="76"/>
      <c r="Z124" s="110">
        <v>0</v>
      </c>
      <c r="AA124" s="110"/>
      <c r="AB124" s="134"/>
      <c r="AC124" s="111">
        <v>0</v>
      </c>
      <c r="AD124" s="73">
        <f>AC124/J124</f>
        <v>0</v>
      </c>
      <c r="AE124" s="125"/>
      <c r="AF124" s="166">
        <f t="shared" si="133"/>
        <v>2000000</v>
      </c>
      <c r="AG124" s="167">
        <f>AF124/J124</f>
        <v>1</v>
      </c>
      <c r="AH124" s="92"/>
      <c r="AI124" s="348"/>
      <c r="AJ124" s="238" t="s">
        <v>409</v>
      </c>
      <c r="AK124" s="348">
        <v>0</v>
      </c>
      <c r="AL124" s="348">
        <v>0</v>
      </c>
      <c r="AM124" s="125">
        <v>0</v>
      </c>
      <c r="AN124" s="348"/>
      <c r="AO124" s="348">
        <v>0</v>
      </c>
      <c r="AP124" s="92"/>
      <c r="AQ124" s="92"/>
      <c r="AR124" s="125">
        <f t="shared" si="120"/>
        <v>0</v>
      </c>
      <c r="AS124" s="92"/>
      <c r="AT124" s="92"/>
      <c r="AU124" s="382"/>
      <c r="AV124" s="256"/>
      <c r="AW124" s="42"/>
      <c r="AX124" s="42"/>
      <c r="AY124" s="42"/>
    </row>
    <row r="125" spans="1:51" s="50" customFormat="1" ht="33.6" customHeight="1">
      <c r="A125" s="381" t="s">
        <v>65</v>
      </c>
      <c r="B125" s="74" t="s">
        <v>550</v>
      </c>
      <c r="C125" s="75" t="s">
        <v>56</v>
      </c>
      <c r="D125" s="75" t="s">
        <v>155</v>
      </c>
      <c r="E125" s="75"/>
      <c r="F125" s="348">
        <v>14056080</v>
      </c>
      <c r="G125" s="348">
        <v>0</v>
      </c>
      <c r="H125" s="91">
        <f>I126</f>
        <v>0</v>
      </c>
      <c r="I125" s="348"/>
      <c r="J125" s="348">
        <f>J126</f>
        <v>0</v>
      </c>
      <c r="K125" s="348">
        <v>0</v>
      </c>
      <c r="L125" s="348">
        <f t="shared" ref="L125:N125" si="185">L126</f>
        <v>0</v>
      </c>
      <c r="M125" s="125"/>
      <c r="N125" s="348">
        <f t="shared" si="185"/>
        <v>0</v>
      </c>
      <c r="O125" s="127"/>
      <c r="P125" s="78">
        <f t="shared" ref="P125" si="186">P126</f>
        <v>0</v>
      </c>
      <c r="Q125" s="73">
        <v>0</v>
      </c>
      <c r="R125" s="78">
        <f t="shared" ref="R125" si="187">R126</f>
        <v>0</v>
      </c>
      <c r="S125" s="73">
        <v>0</v>
      </c>
      <c r="T125" s="78">
        <f t="shared" ref="T125:X125" si="188">T126</f>
        <v>0</v>
      </c>
      <c r="U125" s="78">
        <f t="shared" si="188"/>
        <v>0</v>
      </c>
      <c r="V125" s="78">
        <f t="shared" si="188"/>
        <v>0</v>
      </c>
      <c r="W125" s="78">
        <f t="shared" si="188"/>
        <v>0</v>
      </c>
      <c r="X125" s="78">
        <f t="shared" si="188"/>
        <v>0</v>
      </c>
      <c r="Y125" s="78">
        <f t="shared" si="177"/>
        <v>0</v>
      </c>
      <c r="Z125" s="111">
        <f t="shared" si="111"/>
        <v>0</v>
      </c>
      <c r="AA125" s="78">
        <f t="shared" ref="AA125" si="189">AA126</f>
        <v>0</v>
      </c>
      <c r="AB125" s="135"/>
      <c r="AC125" s="78">
        <f>AC126</f>
        <v>0</v>
      </c>
      <c r="AD125" s="73">
        <v>0</v>
      </c>
      <c r="AE125" s="125"/>
      <c r="AF125" s="166">
        <f t="shared" si="133"/>
        <v>0</v>
      </c>
      <c r="AG125" s="167">
        <v>0</v>
      </c>
      <c r="AH125" s="92"/>
      <c r="AI125" s="348"/>
      <c r="AJ125" s="238" t="s">
        <v>409</v>
      </c>
      <c r="AK125" s="348">
        <v>0</v>
      </c>
      <c r="AL125" s="348">
        <v>0</v>
      </c>
      <c r="AM125" s="125">
        <v>0</v>
      </c>
      <c r="AN125" s="348"/>
      <c r="AO125" s="348">
        <v>0</v>
      </c>
      <c r="AP125" s="92"/>
      <c r="AQ125" s="92"/>
      <c r="AR125" s="125" t="e">
        <f t="shared" si="120"/>
        <v>#DIV/0!</v>
      </c>
      <c r="AS125" s="92"/>
      <c r="AT125" s="92"/>
      <c r="AU125" s="382"/>
      <c r="AV125" s="256"/>
    </row>
    <row r="126" spans="1:51" ht="50.45" customHeight="1">
      <c r="A126" s="386" t="s">
        <v>142</v>
      </c>
      <c r="B126" s="69" t="s">
        <v>551</v>
      </c>
      <c r="C126" s="70" t="s">
        <v>56</v>
      </c>
      <c r="D126" s="70" t="s">
        <v>155</v>
      </c>
      <c r="E126" s="70"/>
      <c r="F126" s="348">
        <v>14056080</v>
      </c>
      <c r="G126" s="348"/>
      <c r="H126" s="79">
        <v>0</v>
      </c>
      <c r="I126" s="76"/>
      <c r="J126" s="76">
        <v>0</v>
      </c>
      <c r="K126" s="76">
        <v>0</v>
      </c>
      <c r="L126" s="348"/>
      <c r="M126" s="125"/>
      <c r="N126" s="348"/>
      <c r="O126" s="127"/>
      <c r="P126" s="348">
        <v>0</v>
      </c>
      <c r="Q126" s="73">
        <v>0</v>
      </c>
      <c r="R126" s="76">
        <v>0</v>
      </c>
      <c r="S126" s="73">
        <v>0</v>
      </c>
      <c r="T126" s="76">
        <v>0</v>
      </c>
      <c r="U126" s="76">
        <v>0</v>
      </c>
      <c r="V126" s="76">
        <v>0</v>
      </c>
      <c r="W126" s="76">
        <v>0</v>
      </c>
      <c r="X126" s="76">
        <v>0</v>
      </c>
      <c r="Y126" s="76">
        <f t="shared" si="177"/>
        <v>0</v>
      </c>
      <c r="Z126" s="110">
        <f t="shared" si="111"/>
        <v>0</v>
      </c>
      <c r="AA126" s="110"/>
      <c r="AB126" s="134"/>
      <c r="AC126" s="111">
        <f t="shared" ref="AC126:AC127" si="190">SUM(T126:V126)</f>
        <v>0</v>
      </c>
      <c r="AD126" s="73">
        <v>0</v>
      </c>
      <c r="AE126" s="125"/>
      <c r="AF126" s="166">
        <f t="shared" si="133"/>
        <v>0</v>
      </c>
      <c r="AG126" s="167">
        <v>0</v>
      </c>
      <c r="AH126" s="92"/>
      <c r="AI126" s="348"/>
      <c r="AJ126" s="238" t="s">
        <v>409</v>
      </c>
      <c r="AK126" s="348">
        <v>0</v>
      </c>
      <c r="AL126" s="348">
        <v>0</v>
      </c>
      <c r="AM126" s="125">
        <v>0</v>
      </c>
      <c r="AN126" s="348"/>
      <c r="AO126" s="348">
        <v>0</v>
      </c>
      <c r="AP126" s="92"/>
      <c r="AQ126" s="92"/>
      <c r="AR126" s="125" t="e">
        <f t="shared" si="120"/>
        <v>#DIV/0!</v>
      </c>
      <c r="AS126" s="92"/>
      <c r="AT126" s="92"/>
      <c r="AU126" s="382"/>
      <c r="AV126" s="256"/>
      <c r="AW126" s="42"/>
      <c r="AX126" s="42"/>
      <c r="AY126" s="42"/>
    </row>
    <row r="127" spans="1:51" ht="281.25" customHeight="1">
      <c r="A127" s="377" t="s">
        <v>299</v>
      </c>
      <c r="B127" s="345" t="s">
        <v>552</v>
      </c>
      <c r="C127" s="178" t="s">
        <v>56</v>
      </c>
      <c r="D127" s="178" t="s">
        <v>155</v>
      </c>
      <c r="E127" s="178"/>
      <c r="F127" s="182">
        <v>19734736</v>
      </c>
      <c r="G127" s="182">
        <v>100446026</v>
      </c>
      <c r="H127" s="201">
        <f>G127*G6</f>
        <v>70593868.856904</v>
      </c>
      <c r="I127" s="182"/>
      <c r="J127" s="182">
        <v>70593869</v>
      </c>
      <c r="K127" s="182">
        <v>70593869</v>
      </c>
      <c r="L127" s="349">
        <v>138733366.81</v>
      </c>
      <c r="M127" s="179">
        <f t="shared" si="144"/>
        <v>1.9652325162968474</v>
      </c>
      <c r="N127" s="349">
        <v>65711138.880000003</v>
      </c>
      <c r="O127" s="180">
        <f t="shared" si="96"/>
        <v>0.93083351020185623</v>
      </c>
      <c r="P127" s="349">
        <v>49952344.799999997</v>
      </c>
      <c r="Q127" s="181">
        <f>P127/J127</f>
        <v>0.70760174371516593</v>
      </c>
      <c r="R127" s="349">
        <v>49952344.799999997</v>
      </c>
      <c r="S127" s="181">
        <f>R127/J127</f>
        <v>0.70760174371516593</v>
      </c>
      <c r="T127" s="349">
        <v>18127608.350000001</v>
      </c>
      <c r="U127" s="349">
        <v>14687492.300000001</v>
      </c>
      <c r="V127" s="182">
        <v>0</v>
      </c>
      <c r="W127" s="182">
        <v>0</v>
      </c>
      <c r="X127" s="182">
        <v>4566694.37</v>
      </c>
      <c r="Y127" s="182">
        <f t="shared" si="177"/>
        <v>28248406.280000001</v>
      </c>
      <c r="Z127" s="184">
        <f t="shared" si="111"/>
        <v>32815100.650000002</v>
      </c>
      <c r="AA127" s="184">
        <v>20991340.300000001</v>
      </c>
      <c r="AB127" s="196">
        <f>AA127/J127</f>
        <v>0.29735358887894359</v>
      </c>
      <c r="AC127" s="199">
        <f t="shared" si="190"/>
        <v>32815100.650000002</v>
      </c>
      <c r="AD127" s="181">
        <f>AC127/J127</f>
        <v>0.46484349299512118</v>
      </c>
      <c r="AE127" s="179">
        <v>3.3083435634198854E-2</v>
      </c>
      <c r="AF127" s="185">
        <f t="shared" si="133"/>
        <v>20641524.200000003</v>
      </c>
      <c r="AG127" s="186">
        <f>AF127/J127</f>
        <v>0.29239825628483407</v>
      </c>
      <c r="AH127" s="200" t="s">
        <v>321</v>
      </c>
      <c r="AI127" s="200"/>
      <c r="AJ127" s="239" t="s">
        <v>408</v>
      </c>
      <c r="AK127" s="349">
        <f>J127*0.2+6000000</f>
        <v>20118773.800000001</v>
      </c>
      <c r="AL127" s="349">
        <f>K127*0.2+6000000</f>
        <v>20118773.800000001</v>
      </c>
      <c r="AM127" s="207">
        <f>AL127/K127</f>
        <v>0.28499321662055382</v>
      </c>
      <c r="AN127" s="197"/>
      <c r="AO127" s="349">
        <v>14118773.800000001</v>
      </c>
      <c r="AP127" s="349">
        <v>28086882</v>
      </c>
      <c r="AQ127" s="349">
        <v>23056324</v>
      </c>
      <c r="AR127" s="207">
        <f t="shared" si="120"/>
        <v>0.32660519003427901</v>
      </c>
      <c r="AS127" s="344" t="s">
        <v>432</v>
      </c>
      <c r="AT127" s="327" t="s">
        <v>730</v>
      </c>
      <c r="AU127" s="378"/>
      <c r="AV127" s="253"/>
    </row>
    <row r="128" spans="1:51" s="50" customFormat="1" ht="33.6" customHeight="1">
      <c r="A128" s="373" t="s">
        <v>66</v>
      </c>
      <c r="B128" s="64" t="s">
        <v>553</v>
      </c>
      <c r="C128" s="65" t="s">
        <v>56</v>
      </c>
      <c r="D128" s="65" t="s">
        <v>155</v>
      </c>
      <c r="E128" s="65"/>
      <c r="F128" s="347">
        <v>118190549</v>
      </c>
      <c r="G128" s="347">
        <v>184285138</v>
      </c>
      <c r="H128" s="90">
        <f>G128*G6</f>
        <v>129516332.12695199</v>
      </c>
      <c r="I128" s="90"/>
      <c r="J128" s="347">
        <f>J129</f>
        <v>129516331.482272</v>
      </c>
      <c r="K128" s="347">
        <f>K129</f>
        <v>147494366</v>
      </c>
      <c r="L128" s="347">
        <f t="shared" ref="L128:N128" si="191">L129</f>
        <v>129536329.47</v>
      </c>
      <c r="M128" s="124">
        <f t="shared" si="144"/>
        <v>1.0001544051433446</v>
      </c>
      <c r="N128" s="347">
        <f t="shared" si="191"/>
        <v>19998.8</v>
      </c>
      <c r="O128" s="121">
        <f t="shared" si="96"/>
        <v>1.5441141492443682E-4</v>
      </c>
      <c r="P128" s="66">
        <f t="shared" ref="P128" si="192">P129</f>
        <v>129516330.67</v>
      </c>
      <c r="Q128" s="67">
        <f>P128/J128</f>
        <v>0.9999999937284203</v>
      </c>
      <c r="R128" s="66">
        <f t="shared" ref="R128" si="193">R129</f>
        <v>129516330.67</v>
      </c>
      <c r="S128" s="67">
        <f>R128/J128</f>
        <v>0.9999999937284203</v>
      </c>
      <c r="T128" s="66">
        <f t="shared" ref="T128:X128" si="194">T129</f>
        <v>129516330.67</v>
      </c>
      <c r="U128" s="66">
        <f t="shared" si="194"/>
        <v>0</v>
      </c>
      <c r="V128" s="66">
        <f t="shared" si="194"/>
        <v>0</v>
      </c>
      <c r="W128" s="66">
        <f t="shared" si="194"/>
        <v>0</v>
      </c>
      <c r="X128" s="66">
        <f t="shared" si="194"/>
        <v>33477881</v>
      </c>
      <c r="Y128" s="78">
        <f t="shared" si="177"/>
        <v>96038449.670000002</v>
      </c>
      <c r="Z128" s="111">
        <f t="shared" si="111"/>
        <v>129516330.67</v>
      </c>
      <c r="AA128" s="66">
        <f t="shared" ref="AA128" si="195">AA129</f>
        <v>0</v>
      </c>
      <c r="AB128" s="128">
        <f>AA128/J128</f>
        <v>0</v>
      </c>
      <c r="AC128" s="66">
        <f>AC129</f>
        <v>129516330.67</v>
      </c>
      <c r="AD128" s="67">
        <f>AC128/J128</f>
        <v>0.9999999937284203</v>
      </c>
      <c r="AE128" s="133">
        <f>AE129</f>
        <v>0</v>
      </c>
      <c r="AF128" s="56">
        <v>0</v>
      </c>
      <c r="AG128" s="57">
        <f>AF128/J128</f>
        <v>0</v>
      </c>
      <c r="AH128" s="93"/>
      <c r="AI128" s="99"/>
      <c r="AJ128" s="237" t="s">
        <v>409</v>
      </c>
      <c r="AK128" s="347">
        <f>AK129</f>
        <v>0</v>
      </c>
      <c r="AL128" s="347">
        <f>AL129</f>
        <v>0</v>
      </c>
      <c r="AM128" s="125">
        <v>0</v>
      </c>
      <c r="AN128" s="347"/>
      <c r="AO128" s="66">
        <v>0</v>
      </c>
      <c r="AP128" s="347">
        <f>AP129</f>
        <v>0</v>
      </c>
      <c r="AQ128" s="347">
        <f>AQ129</f>
        <v>0</v>
      </c>
      <c r="AR128" s="125">
        <f t="shared" si="120"/>
        <v>0</v>
      </c>
      <c r="AS128" s="93"/>
      <c r="AT128" s="93"/>
      <c r="AU128" s="374"/>
      <c r="AV128" s="25"/>
    </row>
    <row r="129" spans="1:51" s="50" customFormat="1" ht="33.6" customHeight="1">
      <c r="A129" s="373" t="s">
        <v>67</v>
      </c>
      <c r="B129" s="64" t="s">
        <v>554</v>
      </c>
      <c r="C129" s="65" t="s">
        <v>56</v>
      </c>
      <c r="D129" s="65" t="s">
        <v>155</v>
      </c>
      <c r="E129" s="65"/>
      <c r="F129" s="347">
        <f>F130+F131+F134+F135</f>
        <v>118190548.72945599</v>
      </c>
      <c r="G129" s="90">
        <f>G130+G131+G134+G135</f>
        <v>184285138</v>
      </c>
      <c r="H129" s="90">
        <f>H130+H131+H134+H135</f>
        <v>129516332.12695199</v>
      </c>
      <c r="I129" s="90"/>
      <c r="J129" s="347">
        <f>J130+J131+J134+J135</f>
        <v>129516331.482272</v>
      </c>
      <c r="K129" s="347">
        <f>K130+K134+K135</f>
        <v>147494366</v>
      </c>
      <c r="L129" s="347">
        <f t="shared" ref="L129:N129" si="196">L130+L131+L134+L135</f>
        <v>129536329.47</v>
      </c>
      <c r="M129" s="124">
        <f t="shared" si="144"/>
        <v>1.0001544051433446</v>
      </c>
      <c r="N129" s="347">
        <f t="shared" si="196"/>
        <v>19998.8</v>
      </c>
      <c r="O129" s="121">
        <f t="shared" si="96"/>
        <v>1.5441141492443682E-4</v>
      </c>
      <c r="P129" s="66">
        <f t="shared" ref="P129" si="197">P130+P131+P134+P135</f>
        <v>129516330.67</v>
      </c>
      <c r="Q129" s="67">
        <f>P129/J129</f>
        <v>0.9999999937284203</v>
      </c>
      <c r="R129" s="66">
        <f t="shared" ref="R129" si="198">R130+R131+R134+R135</f>
        <v>129516330.67</v>
      </c>
      <c r="S129" s="67">
        <f>R129/J129</f>
        <v>0.9999999937284203</v>
      </c>
      <c r="T129" s="66">
        <f t="shared" ref="T129:X129" si="199">T130+T131+T134+T135</f>
        <v>129516330.67</v>
      </c>
      <c r="U129" s="66">
        <f t="shared" si="199"/>
        <v>0</v>
      </c>
      <c r="V129" s="66">
        <f t="shared" si="199"/>
        <v>0</v>
      </c>
      <c r="W129" s="66">
        <f t="shared" si="199"/>
        <v>0</v>
      </c>
      <c r="X129" s="66">
        <f t="shared" si="199"/>
        <v>33477881</v>
      </c>
      <c r="Y129" s="78">
        <f t="shared" si="177"/>
        <v>96038449.670000002</v>
      </c>
      <c r="Z129" s="111">
        <f t="shared" si="111"/>
        <v>129516330.67</v>
      </c>
      <c r="AA129" s="66">
        <f t="shared" ref="AA129" si="200">AA130+AA131+AA134+AA135</f>
        <v>0</v>
      </c>
      <c r="AB129" s="128">
        <f>AA129/J129</f>
        <v>0</v>
      </c>
      <c r="AC129" s="66">
        <f>AC130+AC131+AC134+AC135</f>
        <v>129516330.67</v>
      </c>
      <c r="AD129" s="67">
        <f>AC129/J129</f>
        <v>0.9999999937284203</v>
      </c>
      <c r="AE129" s="133">
        <f>AE130+AE131+AE134+AE135</f>
        <v>0</v>
      </c>
      <c r="AF129" s="56">
        <v>0</v>
      </c>
      <c r="AG129" s="57">
        <f>AF129/J129</f>
        <v>0</v>
      </c>
      <c r="AH129" s="93"/>
      <c r="AI129" s="99"/>
      <c r="AJ129" s="237" t="s">
        <v>409</v>
      </c>
      <c r="AK129" s="347">
        <f>AK130+AK134+AK135</f>
        <v>0</v>
      </c>
      <c r="AL129" s="347">
        <f>AL130+AL134+AL135</f>
        <v>0</v>
      </c>
      <c r="AM129" s="125">
        <v>0</v>
      </c>
      <c r="AN129" s="347"/>
      <c r="AO129" s="66">
        <v>0</v>
      </c>
      <c r="AP129" s="347">
        <f>AP130+AP134+AP135</f>
        <v>0</v>
      </c>
      <c r="AQ129" s="347">
        <f>AQ130+AQ134+AQ135</f>
        <v>0</v>
      </c>
      <c r="AR129" s="125">
        <f t="shared" si="120"/>
        <v>0</v>
      </c>
      <c r="AS129" s="93"/>
      <c r="AT129" s="93"/>
      <c r="AU129" s="374"/>
      <c r="AV129" s="25"/>
    </row>
    <row r="130" spans="1:51" ht="124.9" customHeight="1">
      <c r="A130" s="375" t="s">
        <v>68</v>
      </c>
      <c r="B130" s="69" t="s">
        <v>555</v>
      </c>
      <c r="C130" s="70" t="s">
        <v>56</v>
      </c>
      <c r="D130" s="70" t="s">
        <v>155</v>
      </c>
      <c r="E130" s="70"/>
      <c r="F130" s="76">
        <v>57875909.399999999</v>
      </c>
      <c r="G130" s="76">
        <v>83280404</v>
      </c>
      <c r="H130" s="79">
        <f>G130*G6</f>
        <v>58529801.052815996</v>
      </c>
      <c r="I130" s="79"/>
      <c r="J130" s="76">
        <v>58529801.052815996</v>
      </c>
      <c r="K130" s="76">
        <v>64306566</v>
      </c>
      <c r="L130" s="76">
        <v>58529800.700000003</v>
      </c>
      <c r="M130" s="125">
        <f t="shared" si="144"/>
        <v>0.9999999939720281</v>
      </c>
      <c r="N130" s="76"/>
      <c r="O130" s="121"/>
      <c r="P130" s="348">
        <v>58529800.700000003</v>
      </c>
      <c r="Q130" s="73">
        <f>P130/J130</f>
        <v>0.9999999939720281</v>
      </c>
      <c r="R130" s="76">
        <v>58529800.700000003</v>
      </c>
      <c r="S130" s="73">
        <f>R130/J130</f>
        <v>0.9999999939720281</v>
      </c>
      <c r="T130" s="76">
        <v>58529800.700000003</v>
      </c>
      <c r="U130" s="76">
        <v>0</v>
      </c>
      <c r="V130" s="76">
        <v>0</v>
      </c>
      <c r="W130" s="76">
        <v>0</v>
      </c>
      <c r="X130" s="76">
        <v>0</v>
      </c>
      <c r="Y130" s="78">
        <f t="shared" si="177"/>
        <v>58529800.700000003</v>
      </c>
      <c r="Z130" s="111">
        <f t="shared" si="111"/>
        <v>58529800.700000003</v>
      </c>
      <c r="AA130" s="111"/>
      <c r="AB130" s="135"/>
      <c r="AC130" s="111">
        <f>T130+U130+V130</f>
        <v>58529800.700000003</v>
      </c>
      <c r="AD130" s="73">
        <v>1</v>
      </c>
      <c r="AE130" s="125">
        <v>0</v>
      </c>
      <c r="AF130" s="166">
        <f t="shared" ref="AF130:AF144" si="201">J130-R130</f>
        <v>0.35281599313020706</v>
      </c>
      <c r="AG130" s="167">
        <f>AF130/J130</f>
        <v>6.0279718499612486E-9</v>
      </c>
      <c r="AH130" s="139" t="s">
        <v>322</v>
      </c>
      <c r="AI130" s="139"/>
      <c r="AJ130" s="238" t="s">
        <v>409</v>
      </c>
      <c r="AK130" s="348">
        <v>0</v>
      </c>
      <c r="AL130" s="348">
        <v>0</v>
      </c>
      <c r="AM130" s="125">
        <v>0</v>
      </c>
      <c r="AN130" s="348"/>
      <c r="AO130" s="348">
        <v>0</v>
      </c>
      <c r="AP130" s="92"/>
      <c r="AQ130" s="92"/>
      <c r="AR130" s="125">
        <f t="shared" si="120"/>
        <v>0</v>
      </c>
      <c r="AS130" s="92"/>
      <c r="AT130" s="92"/>
      <c r="AU130" s="382"/>
      <c r="AV130" s="256"/>
      <c r="AW130" s="42"/>
      <c r="AX130" s="42"/>
      <c r="AY130" s="42"/>
    </row>
    <row r="131" spans="1:51" s="50" customFormat="1" ht="33.6" customHeight="1">
      <c r="A131" s="381" t="s">
        <v>69</v>
      </c>
      <c r="B131" s="74" t="s">
        <v>556</v>
      </c>
      <c r="C131" s="75" t="s">
        <v>56</v>
      </c>
      <c r="D131" s="75" t="s">
        <v>155</v>
      </c>
      <c r="E131" s="75"/>
      <c r="F131" s="348">
        <f>SUM(F132,F133)</f>
        <v>0</v>
      </c>
      <c r="G131" s="348"/>
      <c r="H131" s="91">
        <f>SUM(H132,H133)</f>
        <v>0</v>
      </c>
      <c r="I131" s="91"/>
      <c r="J131" s="348">
        <f>SUM(J132,J133)</f>
        <v>0</v>
      </c>
      <c r="K131" s="348">
        <f>SUM(K132,K133)</f>
        <v>0</v>
      </c>
      <c r="L131" s="348">
        <f t="shared" ref="L131:N131" si="202">SUM(L132,L133)</f>
        <v>19998.8</v>
      </c>
      <c r="M131" s="125" t="e">
        <f t="shared" si="144"/>
        <v>#DIV/0!</v>
      </c>
      <c r="N131" s="348">
        <f t="shared" si="202"/>
        <v>19998.8</v>
      </c>
      <c r="O131" s="121"/>
      <c r="P131" s="78">
        <f t="shared" ref="P131" si="203">SUM(P132,P133)</f>
        <v>0</v>
      </c>
      <c r="Q131" s="73">
        <v>0</v>
      </c>
      <c r="R131" s="78">
        <f t="shared" ref="R131" si="204">SUM(R132,R133)</f>
        <v>0</v>
      </c>
      <c r="S131" s="73">
        <v>0</v>
      </c>
      <c r="T131" s="78">
        <f t="shared" ref="T131:X131" si="205">SUM(T132,T133)</f>
        <v>0</v>
      </c>
      <c r="U131" s="78">
        <f t="shared" si="205"/>
        <v>0</v>
      </c>
      <c r="V131" s="78">
        <f t="shared" si="205"/>
        <v>0</v>
      </c>
      <c r="W131" s="78">
        <f t="shared" si="205"/>
        <v>0</v>
      </c>
      <c r="X131" s="78">
        <f t="shared" si="205"/>
        <v>0</v>
      </c>
      <c r="Y131" s="78">
        <f t="shared" si="177"/>
        <v>0</v>
      </c>
      <c r="Z131" s="111">
        <f t="shared" si="111"/>
        <v>0</v>
      </c>
      <c r="AA131" s="111"/>
      <c r="AB131" s="135"/>
      <c r="AC131" s="78">
        <f>SUM(AC132,AC133)</f>
        <v>0</v>
      </c>
      <c r="AD131" s="73">
        <v>0</v>
      </c>
      <c r="AE131" s="125">
        <v>0</v>
      </c>
      <c r="AF131" s="166">
        <f t="shared" si="201"/>
        <v>0</v>
      </c>
      <c r="AG131" s="167">
        <v>0</v>
      </c>
      <c r="AH131" s="92" t="s">
        <v>425</v>
      </c>
      <c r="AI131" s="348"/>
      <c r="AJ131" s="238" t="s">
        <v>409</v>
      </c>
      <c r="AK131" s="348">
        <v>0</v>
      </c>
      <c r="AL131" s="348">
        <v>0</v>
      </c>
      <c r="AM131" s="125">
        <v>0</v>
      </c>
      <c r="AN131" s="348"/>
      <c r="AO131" s="348">
        <v>0</v>
      </c>
      <c r="AP131" s="92"/>
      <c r="AQ131" s="92"/>
      <c r="AR131" s="125" t="e">
        <f t="shared" si="120"/>
        <v>#DIV/0!</v>
      </c>
      <c r="AS131" s="92"/>
      <c r="AT131" s="92"/>
      <c r="AU131" s="382"/>
      <c r="AV131" s="256"/>
    </row>
    <row r="132" spans="1:51" ht="33.6" customHeight="1">
      <c r="A132" s="375" t="s">
        <v>70</v>
      </c>
      <c r="B132" s="69" t="s">
        <v>557</v>
      </c>
      <c r="C132" s="70" t="s">
        <v>56</v>
      </c>
      <c r="D132" s="70" t="s">
        <v>155</v>
      </c>
      <c r="E132" s="70"/>
      <c r="F132" s="76">
        <v>0</v>
      </c>
      <c r="G132" s="76"/>
      <c r="H132" s="79">
        <v>0</v>
      </c>
      <c r="I132" s="79"/>
      <c r="J132" s="76">
        <v>0</v>
      </c>
      <c r="K132" s="76">
        <v>0</v>
      </c>
      <c r="L132" s="76"/>
      <c r="M132" s="125" t="e">
        <f t="shared" si="144"/>
        <v>#DIV/0!</v>
      </c>
      <c r="N132" s="76"/>
      <c r="O132" s="121"/>
      <c r="P132" s="348">
        <v>0</v>
      </c>
      <c r="Q132" s="73">
        <v>0</v>
      </c>
      <c r="R132" s="76">
        <v>0</v>
      </c>
      <c r="S132" s="73">
        <v>0</v>
      </c>
      <c r="T132" s="76">
        <v>0</v>
      </c>
      <c r="U132" s="76">
        <v>0</v>
      </c>
      <c r="V132" s="76">
        <v>0</v>
      </c>
      <c r="W132" s="76">
        <v>0</v>
      </c>
      <c r="X132" s="76">
        <v>0</v>
      </c>
      <c r="Y132" s="76">
        <f t="shared" si="177"/>
        <v>0</v>
      </c>
      <c r="Z132" s="110">
        <f t="shared" si="111"/>
        <v>0</v>
      </c>
      <c r="AA132" s="110"/>
      <c r="AB132" s="134"/>
      <c r="AC132" s="111">
        <f t="shared" ref="AC132:AC134" si="206">SUM(T132:V132)</f>
        <v>0</v>
      </c>
      <c r="AD132" s="73">
        <v>0</v>
      </c>
      <c r="AE132" s="125">
        <v>0</v>
      </c>
      <c r="AF132" s="166">
        <f t="shared" si="201"/>
        <v>0</v>
      </c>
      <c r="AG132" s="167">
        <v>0</v>
      </c>
      <c r="AH132" s="92" t="s">
        <v>425</v>
      </c>
      <c r="AI132" s="348"/>
      <c r="AJ132" s="238" t="s">
        <v>409</v>
      </c>
      <c r="AK132" s="348">
        <v>0</v>
      </c>
      <c r="AL132" s="348">
        <v>0</v>
      </c>
      <c r="AM132" s="125">
        <v>0</v>
      </c>
      <c r="AN132" s="348"/>
      <c r="AO132" s="348">
        <v>0</v>
      </c>
      <c r="AP132" s="92"/>
      <c r="AQ132" s="92"/>
      <c r="AR132" s="125" t="e">
        <f t="shared" si="120"/>
        <v>#DIV/0!</v>
      </c>
      <c r="AS132" s="92"/>
      <c r="AT132" s="92"/>
      <c r="AU132" s="382"/>
      <c r="AV132" s="256"/>
      <c r="AW132" s="42"/>
      <c r="AX132" s="42"/>
      <c r="AY132" s="42"/>
    </row>
    <row r="133" spans="1:51" ht="33.6" customHeight="1">
      <c r="A133" s="375" t="s">
        <v>71</v>
      </c>
      <c r="B133" s="69" t="s">
        <v>558</v>
      </c>
      <c r="C133" s="70" t="s">
        <v>56</v>
      </c>
      <c r="D133" s="70" t="s">
        <v>155</v>
      </c>
      <c r="E133" s="70"/>
      <c r="F133" s="76">
        <v>0</v>
      </c>
      <c r="G133" s="76"/>
      <c r="H133" s="79">
        <v>0</v>
      </c>
      <c r="I133" s="79"/>
      <c r="J133" s="76">
        <v>0</v>
      </c>
      <c r="K133" s="76">
        <v>0</v>
      </c>
      <c r="L133" s="76">
        <v>19998.8</v>
      </c>
      <c r="M133" s="125" t="e">
        <f t="shared" si="144"/>
        <v>#DIV/0!</v>
      </c>
      <c r="N133" s="76">
        <v>19998.8</v>
      </c>
      <c r="O133" s="121"/>
      <c r="P133" s="348">
        <v>0</v>
      </c>
      <c r="Q133" s="73">
        <v>0</v>
      </c>
      <c r="R133" s="76">
        <v>0</v>
      </c>
      <c r="S133" s="73">
        <v>0</v>
      </c>
      <c r="T133" s="76">
        <v>0</v>
      </c>
      <c r="U133" s="76">
        <v>0</v>
      </c>
      <c r="V133" s="76">
        <v>0</v>
      </c>
      <c r="W133" s="76">
        <v>0</v>
      </c>
      <c r="X133" s="76">
        <v>0</v>
      </c>
      <c r="Y133" s="76">
        <f t="shared" si="177"/>
        <v>0</v>
      </c>
      <c r="Z133" s="110">
        <f t="shared" si="111"/>
        <v>0</v>
      </c>
      <c r="AA133" s="110"/>
      <c r="AB133" s="134"/>
      <c r="AC133" s="111">
        <f t="shared" si="206"/>
        <v>0</v>
      </c>
      <c r="AD133" s="73">
        <v>0</v>
      </c>
      <c r="AE133" s="125">
        <v>0</v>
      </c>
      <c r="AF133" s="166">
        <f t="shared" si="201"/>
        <v>0</v>
      </c>
      <c r="AG133" s="167">
        <v>0</v>
      </c>
      <c r="AH133" s="92" t="s">
        <v>425</v>
      </c>
      <c r="AI133" s="348"/>
      <c r="AJ133" s="238" t="s">
        <v>409</v>
      </c>
      <c r="AK133" s="348">
        <v>0</v>
      </c>
      <c r="AL133" s="348">
        <v>0</v>
      </c>
      <c r="AM133" s="125">
        <v>0</v>
      </c>
      <c r="AN133" s="348"/>
      <c r="AO133" s="348">
        <v>0</v>
      </c>
      <c r="AP133" s="92"/>
      <c r="AQ133" s="92"/>
      <c r="AR133" s="125" t="e">
        <f t="shared" si="120"/>
        <v>#DIV/0!</v>
      </c>
      <c r="AS133" s="92"/>
      <c r="AT133" s="92"/>
      <c r="AU133" s="382"/>
      <c r="AV133" s="256"/>
      <c r="AW133" s="42"/>
      <c r="AX133" s="42"/>
      <c r="AY133" s="42"/>
    </row>
    <row r="134" spans="1:51" ht="62.45" customHeight="1">
      <c r="A134" s="375" t="s">
        <v>253</v>
      </c>
      <c r="B134" s="69" t="s">
        <v>559</v>
      </c>
      <c r="C134" s="70" t="s">
        <v>56</v>
      </c>
      <c r="D134" s="70" t="s">
        <v>155</v>
      </c>
      <c r="E134" s="70"/>
      <c r="F134" s="76">
        <v>19999999.899999999</v>
      </c>
      <c r="G134" s="76">
        <v>28457436</v>
      </c>
      <c r="H134" s="101">
        <f>G134*G6</f>
        <v>19999999.850543998</v>
      </c>
      <c r="I134" s="79"/>
      <c r="J134" s="76">
        <v>20000000</v>
      </c>
      <c r="K134" s="76">
        <v>20000000</v>
      </c>
      <c r="L134" s="76">
        <v>20000000</v>
      </c>
      <c r="M134" s="125">
        <f t="shared" si="144"/>
        <v>1</v>
      </c>
      <c r="N134" s="76"/>
      <c r="O134" s="127">
        <f t="shared" si="96"/>
        <v>0</v>
      </c>
      <c r="P134" s="76">
        <v>20000000</v>
      </c>
      <c r="Q134" s="73">
        <f t="shared" ref="Q134:Q146" si="207">P134/J134</f>
        <v>1</v>
      </c>
      <c r="R134" s="76">
        <v>20000000</v>
      </c>
      <c r="S134" s="73">
        <f t="shared" ref="S134:S146" si="208">R134/J134</f>
        <v>1</v>
      </c>
      <c r="T134" s="76">
        <v>20000000</v>
      </c>
      <c r="U134" s="76">
        <v>0</v>
      </c>
      <c r="V134" s="76">
        <v>0</v>
      </c>
      <c r="W134" s="76">
        <v>0</v>
      </c>
      <c r="X134" s="76">
        <v>33477881</v>
      </c>
      <c r="Y134" s="76">
        <f t="shared" si="177"/>
        <v>-13477881</v>
      </c>
      <c r="Z134" s="110">
        <f t="shared" si="111"/>
        <v>20000000</v>
      </c>
      <c r="AA134" s="110"/>
      <c r="AB134" s="134"/>
      <c r="AC134" s="111">
        <f t="shared" si="206"/>
        <v>20000000</v>
      </c>
      <c r="AD134" s="73">
        <f t="shared" ref="AD134:AD141" si="209">AC134/J134</f>
        <v>1</v>
      </c>
      <c r="AE134" s="125">
        <v>0</v>
      </c>
      <c r="AF134" s="166">
        <f t="shared" si="201"/>
        <v>0</v>
      </c>
      <c r="AG134" s="167">
        <f t="shared" ref="AG134:AG160" si="210">AF134/J134</f>
        <v>0</v>
      </c>
      <c r="AH134" s="139" t="s">
        <v>323</v>
      </c>
      <c r="AI134" s="139"/>
      <c r="AJ134" s="238" t="s">
        <v>409</v>
      </c>
      <c r="AK134" s="348">
        <v>0</v>
      </c>
      <c r="AL134" s="348">
        <v>0</v>
      </c>
      <c r="AM134" s="125">
        <v>0</v>
      </c>
      <c r="AN134" s="348"/>
      <c r="AO134" s="348">
        <v>0</v>
      </c>
      <c r="AP134" s="92"/>
      <c r="AQ134" s="92"/>
      <c r="AR134" s="125">
        <f t="shared" si="120"/>
        <v>0</v>
      </c>
      <c r="AS134" s="92"/>
      <c r="AT134" s="92"/>
      <c r="AU134" s="382"/>
      <c r="AV134" s="256"/>
      <c r="AW134" s="42"/>
      <c r="AX134" s="42"/>
      <c r="AY134" s="42"/>
    </row>
    <row r="135" spans="1:51" ht="50.45" customHeight="1">
      <c r="A135" s="375" t="s">
        <v>224</v>
      </c>
      <c r="B135" s="69" t="s">
        <v>560</v>
      </c>
      <c r="C135" s="70" t="s">
        <v>56</v>
      </c>
      <c r="D135" s="70" t="s">
        <v>155</v>
      </c>
      <c r="E135" s="70"/>
      <c r="F135" s="76">
        <v>40314639.429455996</v>
      </c>
      <c r="G135" s="76">
        <v>72547298</v>
      </c>
      <c r="H135" s="101">
        <f>H136+H137</f>
        <v>50986531.223591998</v>
      </c>
      <c r="I135" s="76"/>
      <c r="J135" s="76">
        <f>J136+J137</f>
        <v>50986530.429455996</v>
      </c>
      <c r="K135" s="76">
        <f>K136+K137</f>
        <v>63187800</v>
      </c>
      <c r="L135" s="76">
        <f t="shared" ref="L135:N135" si="211">L136+L137</f>
        <v>50986529.969999999</v>
      </c>
      <c r="M135" s="125">
        <f t="shared" si="144"/>
        <v>0.99999999098867887</v>
      </c>
      <c r="N135" s="76">
        <f t="shared" si="211"/>
        <v>0</v>
      </c>
      <c r="O135" s="127">
        <f t="shared" si="96"/>
        <v>0</v>
      </c>
      <c r="P135" s="76">
        <f t="shared" ref="P135" si="212">P136+P137</f>
        <v>50986529.969999999</v>
      </c>
      <c r="Q135" s="73">
        <f t="shared" si="207"/>
        <v>0.99999999098867887</v>
      </c>
      <c r="R135" s="76">
        <f t="shared" ref="R135" si="213">R136+R137</f>
        <v>50986529.969999999</v>
      </c>
      <c r="S135" s="73">
        <f t="shared" si="208"/>
        <v>0.99999999098867887</v>
      </c>
      <c r="T135" s="76">
        <f t="shared" ref="T135:X135" si="214">T136+T137</f>
        <v>50986529.969999999</v>
      </c>
      <c r="U135" s="76">
        <f t="shared" si="214"/>
        <v>0</v>
      </c>
      <c r="V135" s="76">
        <f t="shared" si="214"/>
        <v>0</v>
      </c>
      <c r="W135" s="76">
        <f t="shared" si="214"/>
        <v>0</v>
      </c>
      <c r="X135" s="76">
        <f t="shared" si="214"/>
        <v>0</v>
      </c>
      <c r="Y135" s="78">
        <f>AC135-X135</f>
        <v>50986529.969999999</v>
      </c>
      <c r="Z135" s="110">
        <f>Z136+Z137</f>
        <v>50986529.969999999</v>
      </c>
      <c r="AA135" s="76">
        <f t="shared" ref="AA135" si="215">AA136+AA137</f>
        <v>0</v>
      </c>
      <c r="AB135" s="134"/>
      <c r="AC135" s="76">
        <f>AC136+AC137</f>
        <v>50986529.969999999</v>
      </c>
      <c r="AD135" s="73">
        <f t="shared" si="209"/>
        <v>0.99999999098867887</v>
      </c>
      <c r="AE135" s="125">
        <v>0</v>
      </c>
      <c r="AF135" s="166">
        <f t="shared" si="201"/>
        <v>0.45945599675178528</v>
      </c>
      <c r="AG135" s="167">
        <f t="shared" si="210"/>
        <v>9.0113210858204983E-9</v>
      </c>
      <c r="AH135" s="92"/>
      <c r="AI135" s="348"/>
      <c r="AJ135" s="238" t="s">
        <v>409</v>
      </c>
      <c r="AK135" s="348">
        <v>0</v>
      </c>
      <c r="AL135" s="348">
        <v>0</v>
      </c>
      <c r="AM135" s="125">
        <v>0</v>
      </c>
      <c r="AN135" s="348"/>
      <c r="AO135" s="348">
        <v>0</v>
      </c>
      <c r="AP135" s="92"/>
      <c r="AQ135" s="92"/>
      <c r="AR135" s="125">
        <f t="shared" si="120"/>
        <v>0</v>
      </c>
      <c r="AS135" s="92"/>
      <c r="AT135" s="92"/>
      <c r="AU135" s="382"/>
      <c r="AV135" s="256"/>
      <c r="AW135" s="42"/>
      <c r="AX135" s="42"/>
      <c r="AY135" s="42"/>
    </row>
    <row r="136" spans="1:51" ht="50.45" customHeight="1">
      <c r="A136" s="375" t="s">
        <v>199</v>
      </c>
      <c r="B136" s="69" t="s">
        <v>561</v>
      </c>
      <c r="C136" s="70" t="s">
        <v>56</v>
      </c>
      <c r="D136" s="70" t="s">
        <v>155</v>
      </c>
      <c r="E136" s="70"/>
      <c r="F136" s="76"/>
      <c r="G136" s="76">
        <v>57362564</v>
      </c>
      <c r="H136" s="101">
        <f>G136*G6</f>
        <v>40314639.429455996</v>
      </c>
      <c r="I136" s="76"/>
      <c r="J136" s="76">
        <v>40314639.429455996</v>
      </c>
      <c r="K136" s="76">
        <v>45449242</v>
      </c>
      <c r="L136" s="76">
        <v>40314638.969999999</v>
      </c>
      <c r="M136" s="125">
        <f t="shared" si="144"/>
        <v>0.99999998860324679</v>
      </c>
      <c r="N136" s="76"/>
      <c r="O136" s="127">
        <f t="shared" ref="O136:O200" si="216">N136/J136</f>
        <v>0</v>
      </c>
      <c r="P136" s="348">
        <v>40314638.969999999</v>
      </c>
      <c r="Q136" s="73">
        <f t="shared" si="207"/>
        <v>0.99999998860324679</v>
      </c>
      <c r="R136" s="76">
        <v>40314638.969999999</v>
      </c>
      <c r="S136" s="73">
        <f t="shared" si="208"/>
        <v>0.99999998860324679</v>
      </c>
      <c r="T136" s="76">
        <v>40314638.969999999</v>
      </c>
      <c r="U136" s="76">
        <v>0</v>
      </c>
      <c r="V136" s="76">
        <v>0</v>
      </c>
      <c r="W136" s="76">
        <v>0</v>
      </c>
      <c r="X136" s="76">
        <v>0</v>
      </c>
      <c r="Y136" s="76">
        <f>AC136-X136</f>
        <v>40314638.969999999</v>
      </c>
      <c r="Z136" s="110">
        <f>T136+U136+W136</f>
        <v>40314638.969999999</v>
      </c>
      <c r="AA136" s="110"/>
      <c r="AB136" s="134"/>
      <c r="AC136" s="111">
        <f>SUM(T136:V136)</f>
        <v>40314638.969999999</v>
      </c>
      <c r="AD136" s="73">
        <f t="shared" si="209"/>
        <v>0.99999998860324679</v>
      </c>
      <c r="AE136" s="125">
        <v>0</v>
      </c>
      <c r="AF136" s="166">
        <f t="shared" si="201"/>
        <v>0.45945599675178528</v>
      </c>
      <c r="AG136" s="167">
        <f t="shared" si="210"/>
        <v>1.1396753220520746E-8</v>
      </c>
      <c r="AH136" s="139" t="s">
        <v>324</v>
      </c>
      <c r="AI136" s="139"/>
      <c r="AJ136" s="238" t="s">
        <v>409</v>
      </c>
      <c r="AK136" s="348">
        <v>0</v>
      </c>
      <c r="AL136" s="348">
        <v>0</v>
      </c>
      <c r="AM136" s="125">
        <v>0</v>
      </c>
      <c r="AN136" s="348"/>
      <c r="AO136" s="348">
        <v>0</v>
      </c>
      <c r="AP136" s="92"/>
      <c r="AQ136" s="92"/>
      <c r="AR136" s="125">
        <f t="shared" si="120"/>
        <v>0</v>
      </c>
      <c r="AS136" s="92"/>
      <c r="AT136" s="92"/>
      <c r="AU136" s="382"/>
      <c r="AV136" s="256"/>
      <c r="AW136" s="42"/>
      <c r="AX136" s="42"/>
      <c r="AY136" s="42"/>
    </row>
    <row r="137" spans="1:51" ht="69" customHeight="1">
      <c r="A137" s="375" t="s">
        <v>200</v>
      </c>
      <c r="B137" s="69" t="s">
        <v>562</v>
      </c>
      <c r="C137" s="70" t="s">
        <v>56</v>
      </c>
      <c r="D137" s="70" t="s">
        <v>155</v>
      </c>
      <c r="E137" s="70"/>
      <c r="F137" s="76"/>
      <c r="G137" s="76">
        <v>15184734</v>
      </c>
      <c r="H137" s="101">
        <f>G137*G6</f>
        <v>10671891.794135999</v>
      </c>
      <c r="I137" s="76"/>
      <c r="J137" s="76">
        <v>10671891</v>
      </c>
      <c r="K137" s="76">
        <v>17738558</v>
      </c>
      <c r="L137" s="76">
        <v>10671891</v>
      </c>
      <c r="M137" s="125">
        <f t="shared" si="144"/>
        <v>1</v>
      </c>
      <c r="N137" s="76"/>
      <c r="O137" s="127">
        <f t="shared" si="216"/>
        <v>0</v>
      </c>
      <c r="P137" s="348">
        <v>10671891</v>
      </c>
      <c r="Q137" s="73">
        <f t="shared" si="207"/>
        <v>1</v>
      </c>
      <c r="R137" s="348">
        <v>10671891</v>
      </c>
      <c r="S137" s="73">
        <f t="shared" si="208"/>
        <v>1</v>
      </c>
      <c r="T137" s="348">
        <v>10671891</v>
      </c>
      <c r="U137" s="76">
        <v>0</v>
      </c>
      <c r="V137" s="76">
        <v>0</v>
      </c>
      <c r="W137" s="76">
        <v>0</v>
      </c>
      <c r="X137" s="76">
        <v>0</v>
      </c>
      <c r="Y137" s="76">
        <f t="shared" si="177"/>
        <v>10671891</v>
      </c>
      <c r="Z137" s="110">
        <f>T137+U137+W137</f>
        <v>10671891</v>
      </c>
      <c r="AA137" s="110"/>
      <c r="AB137" s="134"/>
      <c r="AC137" s="111">
        <f>SUM(T137:V137)</f>
        <v>10671891</v>
      </c>
      <c r="AD137" s="73">
        <f t="shared" si="209"/>
        <v>1</v>
      </c>
      <c r="AE137" s="125">
        <v>0</v>
      </c>
      <c r="AF137" s="166">
        <f t="shared" si="201"/>
        <v>0</v>
      </c>
      <c r="AG137" s="167">
        <f t="shared" si="210"/>
        <v>0</v>
      </c>
      <c r="AH137" s="139" t="s">
        <v>325</v>
      </c>
      <c r="AI137" s="139"/>
      <c r="AJ137" s="238" t="s">
        <v>409</v>
      </c>
      <c r="AK137" s="348">
        <v>0</v>
      </c>
      <c r="AL137" s="348">
        <v>0</v>
      </c>
      <c r="AM137" s="125">
        <v>0</v>
      </c>
      <c r="AN137" s="348"/>
      <c r="AO137" s="348">
        <v>0</v>
      </c>
      <c r="AP137" s="92"/>
      <c r="AQ137" s="92"/>
      <c r="AR137" s="125">
        <f t="shared" si="120"/>
        <v>0</v>
      </c>
      <c r="AS137" s="92"/>
      <c r="AT137" s="92"/>
      <c r="AU137" s="382"/>
      <c r="AV137" s="256"/>
      <c r="AW137" s="42"/>
      <c r="AX137" s="42"/>
      <c r="AY137" s="42"/>
    </row>
    <row r="138" spans="1:51" s="50" customFormat="1" ht="50.45" customHeight="1">
      <c r="A138" s="373" t="s">
        <v>72</v>
      </c>
      <c r="B138" s="64" t="s">
        <v>563</v>
      </c>
      <c r="C138" s="65" t="s">
        <v>56</v>
      </c>
      <c r="D138" s="65" t="s">
        <v>155</v>
      </c>
      <c r="E138" s="65"/>
      <c r="F138" s="347">
        <f>F139+F144</f>
        <v>54101851.919999994</v>
      </c>
      <c r="G138" s="347">
        <v>76980000</v>
      </c>
      <c r="H138" s="90">
        <f>H139+H144</f>
        <v>54101852.223663993</v>
      </c>
      <c r="I138" s="347"/>
      <c r="J138" s="347">
        <f>J139+J144</f>
        <v>54101852.607243992</v>
      </c>
      <c r="K138" s="347">
        <f>K139+K144</f>
        <v>59433653</v>
      </c>
      <c r="L138" s="347">
        <f t="shared" ref="L138:N138" si="217">L139+L144</f>
        <v>85143529.239999995</v>
      </c>
      <c r="M138" s="124">
        <f t="shared" si="144"/>
        <v>1.5737636538642239</v>
      </c>
      <c r="N138" s="347">
        <f t="shared" si="217"/>
        <v>36525519.850000001</v>
      </c>
      <c r="O138" s="121">
        <f t="shared" si="216"/>
        <v>0.67512512214987253</v>
      </c>
      <c r="P138" s="66">
        <f t="shared" ref="P138" si="218">P139+P144</f>
        <v>36031830.289999999</v>
      </c>
      <c r="Q138" s="67">
        <f t="shared" si="207"/>
        <v>0.66599993444911165</v>
      </c>
      <c r="R138" s="66">
        <f t="shared" ref="R138" si="219">R139+R144</f>
        <v>35136199.480000004</v>
      </c>
      <c r="S138" s="67">
        <f t="shared" si="208"/>
        <v>0.64944540319300315</v>
      </c>
      <c r="T138" s="66">
        <f t="shared" ref="T138:X138" si="220">T139+T144</f>
        <v>13133640.07</v>
      </c>
      <c r="U138" s="66">
        <f t="shared" si="220"/>
        <v>247647.46</v>
      </c>
      <c r="V138" s="66">
        <f t="shared" si="220"/>
        <v>0</v>
      </c>
      <c r="W138" s="66">
        <f t="shared" si="220"/>
        <v>0</v>
      </c>
      <c r="X138" s="66">
        <f t="shared" si="220"/>
        <v>51765.81</v>
      </c>
      <c r="Y138" s="78">
        <f t="shared" si="177"/>
        <v>13329521.719999999</v>
      </c>
      <c r="Z138" s="66">
        <f t="shared" si="111"/>
        <v>13381287.530000001</v>
      </c>
      <c r="AA138" s="66">
        <f t="shared" ref="AA138" si="221">AA139+AA144</f>
        <v>13018871.149999999</v>
      </c>
      <c r="AB138" s="128">
        <f>AA138/J138</f>
        <v>0.24063632801100845</v>
      </c>
      <c r="AC138" s="66">
        <f>AC139+AC144</f>
        <v>13381287.529999999</v>
      </c>
      <c r="AD138" s="67">
        <f t="shared" si="209"/>
        <v>0.24733510748961499</v>
      </c>
      <c r="AE138" s="133">
        <v>2.2053666982654211E-2</v>
      </c>
      <c r="AF138" s="56">
        <f t="shared" si="201"/>
        <v>18965653.127243988</v>
      </c>
      <c r="AG138" s="57">
        <f t="shared" si="210"/>
        <v>0.35055459680699685</v>
      </c>
      <c r="AH138" s="93"/>
      <c r="AI138" s="99"/>
      <c r="AJ138" s="237" t="s">
        <v>409</v>
      </c>
      <c r="AK138" s="66">
        <f>AK139+AK144</f>
        <v>0</v>
      </c>
      <c r="AL138" s="66">
        <f>AL139+AL144</f>
        <v>0</v>
      </c>
      <c r="AM138" s="124">
        <v>0</v>
      </c>
      <c r="AN138" s="347"/>
      <c r="AO138" s="66">
        <v>0</v>
      </c>
      <c r="AP138" s="66">
        <f>AP139+AP144</f>
        <v>6000000</v>
      </c>
      <c r="AQ138" s="66">
        <f>AQ139+AQ144</f>
        <v>6000000</v>
      </c>
      <c r="AR138" s="124">
        <f t="shared" si="120"/>
        <v>0.10095290626002747</v>
      </c>
      <c r="AS138" s="93"/>
      <c r="AT138" s="93"/>
      <c r="AU138" s="374"/>
      <c r="AV138" s="25"/>
    </row>
    <row r="139" spans="1:51" s="50" customFormat="1" ht="50.45" customHeight="1">
      <c r="A139" s="373" t="s">
        <v>73</v>
      </c>
      <c r="B139" s="64" t="s">
        <v>564</v>
      </c>
      <c r="C139" s="65" t="s">
        <v>56</v>
      </c>
      <c r="D139" s="65" t="s">
        <v>155</v>
      </c>
      <c r="E139" s="65"/>
      <c r="F139" s="347">
        <f>F141+F142+F143</f>
        <v>6985871.7599999998</v>
      </c>
      <c r="G139" s="347">
        <v>27619658</v>
      </c>
      <c r="H139" s="101">
        <f>H140+H143</f>
        <v>19411206.424695998</v>
      </c>
      <c r="I139" s="347"/>
      <c r="J139" s="347">
        <f>J140+J143</f>
        <v>19411206.619999997</v>
      </c>
      <c r="K139" s="347">
        <f>K140+K143</f>
        <v>21713825</v>
      </c>
      <c r="L139" s="347">
        <f t="shared" ref="L139:N139" si="222">L140+L143</f>
        <v>15997841.139999999</v>
      </c>
      <c r="M139" s="124">
        <f t="shared" si="144"/>
        <v>0.82415490459603391</v>
      </c>
      <c r="N139" s="347">
        <f t="shared" si="222"/>
        <v>4785303.1399999997</v>
      </c>
      <c r="O139" s="121">
        <f t="shared" si="216"/>
        <v>0.24652270380088306</v>
      </c>
      <c r="P139" s="66">
        <f>P140+P143</f>
        <v>10696681.449999999</v>
      </c>
      <c r="Q139" s="67">
        <f t="shared" si="207"/>
        <v>0.55105700842825822</v>
      </c>
      <c r="R139" s="66">
        <f>R140+R143</f>
        <v>9801050.6400000006</v>
      </c>
      <c r="S139" s="67">
        <f t="shared" si="208"/>
        <v>0.50491712503341546</v>
      </c>
      <c r="T139" s="66">
        <f t="shared" ref="T139:X139" si="223">T140+T143</f>
        <v>3256301.9200000004</v>
      </c>
      <c r="U139" s="66">
        <f t="shared" si="223"/>
        <v>0</v>
      </c>
      <c r="V139" s="66">
        <f t="shared" si="223"/>
        <v>0</v>
      </c>
      <c r="W139" s="66">
        <f t="shared" si="223"/>
        <v>0</v>
      </c>
      <c r="X139" s="66">
        <f t="shared" si="223"/>
        <v>0</v>
      </c>
      <c r="Y139" s="78">
        <f t="shared" si="177"/>
        <v>3256301.9200000004</v>
      </c>
      <c r="Z139" s="111">
        <f t="shared" si="111"/>
        <v>3256301.9200000004</v>
      </c>
      <c r="AA139" s="66">
        <f>AA140+AA143</f>
        <v>800552.04</v>
      </c>
      <c r="AB139" s="128">
        <f>AA139/J139</f>
        <v>4.1241745331542928E-2</v>
      </c>
      <c r="AC139" s="66">
        <f>AC140+AC143</f>
        <v>3256301.9200000004</v>
      </c>
      <c r="AD139" s="67">
        <f t="shared" si="209"/>
        <v>0.16775370968669853</v>
      </c>
      <c r="AE139" s="133"/>
      <c r="AF139" s="166">
        <f t="shared" si="201"/>
        <v>9610155.9799999967</v>
      </c>
      <c r="AG139" s="167">
        <f t="shared" si="210"/>
        <v>0.49508287496658454</v>
      </c>
      <c r="AH139" s="93"/>
      <c r="AI139" s="99"/>
      <c r="AJ139" s="237" t="s">
        <v>409</v>
      </c>
      <c r="AK139" s="66">
        <f>AK140+AK143</f>
        <v>0</v>
      </c>
      <c r="AL139" s="66">
        <f>AL140+AL143</f>
        <v>0</v>
      </c>
      <c r="AM139" s="124">
        <v>0</v>
      </c>
      <c r="AN139" s="347"/>
      <c r="AO139" s="66">
        <v>0</v>
      </c>
      <c r="AP139" s="66">
        <f>AP140+AP143</f>
        <v>0</v>
      </c>
      <c r="AQ139" s="66">
        <f>AQ140+AQ143</f>
        <v>0</v>
      </c>
      <c r="AR139" s="124">
        <f t="shared" si="120"/>
        <v>0</v>
      </c>
      <c r="AS139" s="93"/>
      <c r="AT139" s="93"/>
      <c r="AU139" s="374"/>
      <c r="AV139" s="25"/>
    </row>
    <row r="140" spans="1:51" s="50" customFormat="1" ht="33.6" customHeight="1">
      <c r="A140" s="381" t="s">
        <v>183</v>
      </c>
      <c r="B140" s="74" t="s">
        <v>565</v>
      </c>
      <c r="C140" s="75" t="s">
        <v>56</v>
      </c>
      <c r="D140" s="75" t="s">
        <v>155</v>
      </c>
      <c r="E140" s="75"/>
      <c r="F140" s="348">
        <f>F141+F142</f>
        <v>5271030</v>
      </c>
      <c r="G140" s="348">
        <v>25180284</v>
      </c>
      <c r="H140" s="348">
        <f>H141+H142</f>
        <v>17696804.619999997</v>
      </c>
      <c r="I140" s="348"/>
      <c r="J140" s="348">
        <f>J141+J142</f>
        <v>17696804.619999997</v>
      </c>
      <c r="K140" s="348">
        <f>K141+K142</f>
        <v>19696804</v>
      </c>
      <c r="L140" s="348">
        <f t="shared" ref="L140:N140" si="224">L141+L142</f>
        <v>12569038.119999999</v>
      </c>
      <c r="M140" s="125">
        <f t="shared" si="144"/>
        <v>0.71024336821773648</v>
      </c>
      <c r="N140" s="348">
        <f t="shared" si="224"/>
        <v>3070901.63</v>
      </c>
      <c r="O140" s="127">
        <f t="shared" si="216"/>
        <v>0.17352859433897058</v>
      </c>
      <c r="P140" s="78">
        <f>P141+P142</f>
        <v>8982279.9399999995</v>
      </c>
      <c r="Q140" s="73">
        <f t="shared" si="207"/>
        <v>0.50756507363191994</v>
      </c>
      <c r="R140" s="78">
        <f>R141+R142</f>
        <v>8086649.1300000008</v>
      </c>
      <c r="S140" s="73">
        <f t="shared" si="208"/>
        <v>0.4569553263226343</v>
      </c>
      <c r="T140" s="78">
        <f>T141+T142</f>
        <v>2854518.72</v>
      </c>
      <c r="U140" s="78">
        <f t="shared" ref="U140:X140" si="225">U141+U142</f>
        <v>0</v>
      </c>
      <c r="V140" s="78">
        <f t="shared" si="225"/>
        <v>0</v>
      </c>
      <c r="W140" s="78">
        <f t="shared" si="225"/>
        <v>0</v>
      </c>
      <c r="X140" s="78">
        <f t="shared" si="225"/>
        <v>0</v>
      </c>
      <c r="Y140" s="78">
        <f t="shared" si="177"/>
        <v>2854518.72</v>
      </c>
      <c r="Z140" s="111">
        <f t="shared" si="111"/>
        <v>2854518.72</v>
      </c>
      <c r="AA140" s="78">
        <f>AA141+AA142</f>
        <v>800552.04</v>
      </c>
      <c r="AB140" s="131">
        <f>AA140/J140</f>
        <v>4.5237095463847653E-2</v>
      </c>
      <c r="AC140" s="78">
        <f>AC141+AC142</f>
        <v>2854518.72</v>
      </c>
      <c r="AD140" s="73">
        <f t="shared" si="209"/>
        <v>0.16130136379388929</v>
      </c>
      <c r="AE140" s="136">
        <f>AE141+AE142</f>
        <v>1.1580867540507305E-2</v>
      </c>
      <c r="AF140" s="166">
        <f t="shared" si="201"/>
        <v>9610155.4899999965</v>
      </c>
      <c r="AG140" s="167">
        <f t="shared" si="210"/>
        <v>0.54304467367736575</v>
      </c>
      <c r="AH140" s="92"/>
      <c r="AI140" s="348"/>
      <c r="AJ140" s="238" t="s">
        <v>409</v>
      </c>
      <c r="AK140" s="348">
        <v>0</v>
      </c>
      <c r="AL140" s="348">
        <v>0</v>
      </c>
      <c r="AM140" s="125">
        <v>0</v>
      </c>
      <c r="AN140" s="348"/>
      <c r="AO140" s="348">
        <v>0</v>
      </c>
      <c r="AP140" s="92"/>
      <c r="AQ140" s="92"/>
      <c r="AR140" s="125">
        <f t="shared" si="120"/>
        <v>0</v>
      </c>
      <c r="AS140" s="92"/>
      <c r="AT140" s="92"/>
      <c r="AU140" s="382"/>
      <c r="AV140" s="256"/>
    </row>
    <row r="141" spans="1:51" ht="50.45" customHeight="1">
      <c r="A141" s="375" t="s">
        <v>184</v>
      </c>
      <c r="B141" s="69" t="s">
        <v>566</v>
      </c>
      <c r="C141" s="70" t="s">
        <v>56</v>
      </c>
      <c r="D141" s="70" t="s">
        <v>155</v>
      </c>
      <c r="E141" s="70"/>
      <c r="F141" s="76">
        <v>5271030</v>
      </c>
      <c r="G141" s="76">
        <v>20911669</v>
      </c>
      <c r="H141" s="79">
        <v>14696804.619999999</v>
      </c>
      <c r="I141" s="76"/>
      <c r="J141" s="76">
        <v>14696804.619999999</v>
      </c>
      <c r="K141" s="76">
        <v>14696804</v>
      </c>
      <c r="L141" s="76">
        <v>9569038.4299999997</v>
      </c>
      <c r="M141" s="125">
        <f t="shared" si="144"/>
        <v>0.65109652590591494</v>
      </c>
      <c r="N141" s="76">
        <v>3070901.63</v>
      </c>
      <c r="O141" s="127">
        <f t="shared" si="216"/>
        <v>0.20895029289706921</v>
      </c>
      <c r="P141" s="348">
        <v>5982280.25</v>
      </c>
      <c r="Q141" s="73">
        <f t="shared" si="207"/>
        <v>0.40704632093013426</v>
      </c>
      <c r="R141" s="76">
        <v>5086649.4400000004</v>
      </c>
      <c r="S141" s="73">
        <f t="shared" si="208"/>
        <v>0.34610580813450326</v>
      </c>
      <c r="T141" s="76">
        <v>2461665.3000000003</v>
      </c>
      <c r="U141" s="76">
        <v>0</v>
      </c>
      <c r="V141" s="76">
        <v>0</v>
      </c>
      <c r="W141" s="76">
        <v>0</v>
      </c>
      <c r="X141" s="76">
        <v>0</v>
      </c>
      <c r="Y141" s="76">
        <f t="shared" si="177"/>
        <v>2461665.3000000003</v>
      </c>
      <c r="Z141" s="110">
        <f t="shared" si="111"/>
        <v>2461665.3000000003</v>
      </c>
      <c r="AA141" s="110">
        <v>800552.04</v>
      </c>
      <c r="AB141" s="131">
        <f>AA141/J141</f>
        <v>5.4471162997606758E-2</v>
      </c>
      <c r="AC141" s="111">
        <f t="shared" ref="AC141:AC143" si="226">SUM(T141:V141)</f>
        <v>2461665.3000000003</v>
      </c>
      <c r="AD141" s="73">
        <f t="shared" si="209"/>
        <v>0.16749663370023085</v>
      </c>
      <c r="AE141" s="125">
        <v>1.1580867540507305E-2</v>
      </c>
      <c r="AF141" s="166">
        <f t="shared" si="201"/>
        <v>9610155.1799999997</v>
      </c>
      <c r="AG141" s="167">
        <f t="shared" si="210"/>
        <v>0.6538941918654968</v>
      </c>
      <c r="AH141" s="139" t="s">
        <v>326</v>
      </c>
      <c r="AI141" s="139"/>
      <c r="AJ141" s="238" t="s">
        <v>409</v>
      </c>
      <c r="AK141" s="348">
        <v>0</v>
      </c>
      <c r="AL141" s="348">
        <v>0</v>
      </c>
      <c r="AM141" s="125">
        <v>0</v>
      </c>
      <c r="AN141" s="348"/>
      <c r="AO141" s="348">
        <v>0</v>
      </c>
      <c r="AP141" s="165"/>
      <c r="AQ141" s="165"/>
      <c r="AR141" s="125">
        <f t="shared" si="120"/>
        <v>0</v>
      </c>
      <c r="AS141" s="165"/>
      <c r="AT141" s="165"/>
      <c r="AU141" s="382"/>
      <c r="AV141" s="256"/>
      <c r="AW141" s="42"/>
      <c r="AX141" s="42"/>
      <c r="AY141" s="42"/>
    </row>
    <row r="142" spans="1:51" ht="67.150000000000006" customHeight="1">
      <c r="A142" s="375" t="s">
        <v>74</v>
      </c>
      <c r="B142" s="69" t="s">
        <v>567</v>
      </c>
      <c r="C142" s="70" t="s">
        <v>56</v>
      </c>
      <c r="D142" s="70" t="s">
        <v>155</v>
      </c>
      <c r="E142" s="70"/>
      <c r="F142" s="76">
        <v>0</v>
      </c>
      <c r="G142" s="76">
        <v>4268615</v>
      </c>
      <c r="H142" s="79">
        <v>3000000</v>
      </c>
      <c r="I142" s="76"/>
      <c r="J142" s="76">
        <v>3000000</v>
      </c>
      <c r="K142" s="76">
        <v>5000000</v>
      </c>
      <c r="L142" s="76">
        <v>2999999.69</v>
      </c>
      <c r="M142" s="125">
        <f t="shared" si="144"/>
        <v>0.99999989666666667</v>
      </c>
      <c r="N142" s="76"/>
      <c r="O142" s="127">
        <f t="shared" si="216"/>
        <v>0</v>
      </c>
      <c r="P142" s="348">
        <v>2999999.69</v>
      </c>
      <c r="Q142" s="73">
        <f t="shared" si="207"/>
        <v>0.99999989666666667</v>
      </c>
      <c r="R142" s="76">
        <v>2999999.69</v>
      </c>
      <c r="S142" s="73">
        <f t="shared" si="208"/>
        <v>0.99999989666666667</v>
      </c>
      <c r="T142" s="76">
        <v>392853.42</v>
      </c>
      <c r="U142" s="76">
        <v>0</v>
      </c>
      <c r="V142" s="76">
        <v>0</v>
      </c>
      <c r="W142" s="76">
        <v>0</v>
      </c>
      <c r="X142" s="76">
        <v>0</v>
      </c>
      <c r="Y142" s="76">
        <f t="shared" si="177"/>
        <v>392853.42</v>
      </c>
      <c r="Z142" s="110">
        <f t="shared" si="111"/>
        <v>392853.42</v>
      </c>
      <c r="AA142" s="110"/>
      <c r="AB142" s="134"/>
      <c r="AC142" s="111">
        <f t="shared" si="226"/>
        <v>392853.42</v>
      </c>
      <c r="AD142" s="73">
        <v>0</v>
      </c>
      <c r="AE142" s="125">
        <v>0</v>
      </c>
      <c r="AF142" s="166">
        <f t="shared" si="201"/>
        <v>0.31000000005587935</v>
      </c>
      <c r="AG142" s="167">
        <f t="shared" si="210"/>
        <v>1.0333333335195979E-7</v>
      </c>
      <c r="AH142" s="140" t="s">
        <v>327</v>
      </c>
      <c r="AI142" s="140"/>
      <c r="AJ142" s="238" t="s">
        <v>409</v>
      </c>
      <c r="AK142" s="348">
        <v>0</v>
      </c>
      <c r="AL142" s="348">
        <v>0</v>
      </c>
      <c r="AM142" s="125">
        <v>0</v>
      </c>
      <c r="AN142" s="348"/>
      <c r="AO142" s="348">
        <v>0</v>
      </c>
      <c r="AP142" s="231"/>
      <c r="AQ142" s="231"/>
      <c r="AR142" s="125">
        <f t="shared" si="120"/>
        <v>0</v>
      </c>
      <c r="AS142" s="231"/>
      <c r="AT142" s="231"/>
      <c r="AU142" s="382"/>
      <c r="AV142" s="256"/>
      <c r="AW142" s="42"/>
      <c r="AX142" s="42"/>
      <c r="AY142" s="42"/>
    </row>
    <row r="143" spans="1:51" ht="67.150000000000006" customHeight="1">
      <c r="A143" s="375" t="s">
        <v>75</v>
      </c>
      <c r="B143" s="69" t="s">
        <v>568</v>
      </c>
      <c r="C143" s="70" t="s">
        <v>56</v>
      </c>
      <c r="D143" s="70" t="s">
        <v>155</v>
      </c>
      <c r="E143" s="70"/>
      <c r="F143" s="76">
        <v>1714841.76</v>
      </c>
      <c r="G143" s="76">
        <v>2439374</v>
      </c>
      <c r="H143" s="79">
        <f>G143*G6</f>
        <v>1714401.8046959999</v>
      </c>
      <c r="I143" s="76"/>
      <c r="J143" s="76">
        <v>1714402</v>
      </c>
      <c r="K143" s="76">
        <v>2017021</v>
      </c>
      <c r="L143" s="76">
        <v>3428803.02</v>
      </c>
      <c r="M143" s="125">
        <f t="shared" si="144"/>
        <v>1.9999994283721088</v>
      </c>
      <c r="N143" s="76">
        <v>1714401.51</v>
      </c>
      <c r="O143" s="127">
        <f t="shared" si="216"/>
        <v>0.99999971418605438</v>
      </c>
      <c r="P143" s="348">
        <v>1714401.51</v>
      </c>
      <c r="Q143" s="73">
        <f t="shared" si="207"/>
        <v>0.99999971418605438</v>
      </c>
      <c r="R143" s="76">
        <v>1714401.51</v>
      </c>
      <c r="S143" s="73">
        <f t="shared" si="208"/>
        <v>0.99999971418605438</v>
      </c>
      <c r="T143" s="76">
        <v>401783.2</v>
      </c>
      <c r="U143" s="76">
        <v>0</v>
      </c>
      <c r="V143" s="76">
        <v>0</v>
      </c>
      <c r="W143" s="76">
        <v>0</v>
      </c>
      <c r="X143" s="76">
        <v>0</v>
      </c>
      <c r="Y143" s="76">
        <f t="shared" si="177"/>
        <v>401783.2</v>
      </c>
      <c r="Z143" s="110">
        <f t="shared" si="111"/>
        <v>401783.2</v>
      </c>
      <c r="AA143" s="110"/>
      <c r="AB143" s="134"/>
      <c r="AC143" s="111">
        <f t="shared" si="226"/>
        <v>401783.2</v>
      </c>
      <c r="AD143" s="73">
        <f>AC143/J143</f>
        <v>0.23435763607368634</v>
      </c>
      <c r="AE143" s="125">
        <v>0</v>
      </c>
      <c r="AF143" s="166">
        <f t="shared" si="201"/>
        <v>0.48999999999068677</v>
      </c>
      <c r="AG143" s="167">
        <f t="shared" si="210"/>
        <v>2.8581394561525636E-7</v>
      </c>
      <c r="AH143" s="139" t="s">
        <v>328</v>
      </c>
      <c r="AI143" s="139"/>
      <c r="AJ143" s="238" t="s">
        <v>409</v>
      </c>
      <c r="AK143" s="348">
        <v>0</v>
      </c>
      <c r="AL143" s="348">
        <v>0</v>
      </c>
      <c r="AM143" s="125">
        <v>0</v>
      </c>
      <c r="AN143" s="348"/>
      <c r="AO143" s="348">
        <v>0</v>
      </c>
      <c r="AP143" s="165"/>
      <c r="AQ143" s="165"/>
      <c r="AR143" s="125">
        <f t="shared" si="120"/>
        <v>0</v>
      </c>
      <c r="AS143" s="165"/>
      <c r="AT143" s="165"/>
      <c r="AU143" s="382"/>
      <c r="AV143" s="256"/>
      <c r="AW143" s="42"/>
      <c r="AX143" s="42"/>
      <c r="AY143" s="42"/>
    </row>
    <row r="144" spans="1:51" s="50" customFormat="1" ht="67.150000000000006" customHeight="1">
      <c r="A144" s="373" t="s">
        <v>76</v>
      </c>
      <c r="B144" s="64" t="s">
        <v>569</v>
      </c>
      <c r="C144" s="65" t="s">
        <v>56</v>
      </c>
      <c r="D144" s="65" t="s">
        <v>155</v>
      </c>
      <c r="E144" s="65"/>
      <c r="F144" s="347">
        <f>F145+F146+F148</f>
        <v>47115980.159999996</v>
      </c>
      <c r="G144" s="347">
        <v>49360342</v>
      </c>
      <c r="H144" s="108">
        <f>H145+H146+H148</f>
        <v>34690645.798967995</v>
      </c>
      <c r="I144" s="347"/>
      <c r="J144" s="347">
        <f>J145+J146+J148</f>
        <v>34690645.987243995</v>
      </c>
      <c r="K144" s="347">
        <f>K145+K146+K148</f>
        <v>37719828</v>
      </c>
      <c r="L144" s="347">
        <f>L145+L146+L148</f>
        <v>69145688.099999994</v>
      </c>
      <c r="M144" s="124">
        <f t="shared" si="144"/>
        <v>1.9932084321930865</v>
      </c>
      <c r="N144" s="347">
        <f>N145+N146+N148</f>
        <v>31740216.710000001</v>
      </c>
      <c r="O144" s="121">
        <f t="shared" si="216"/>
        <v>0.91495029298881059</v>
      </c>
      <c r="P144" s="66">
        <f>P145+P146+P148</f>
        <v>25335148.84</v>
      </c>
      <c r="Q144" s="67">
        <f t="shared" si="207"/>
        <v>0.73031643311905814</v>
      </c>
      <c r="R144" s="66">
        <f>R145+R146+R148</f>
        <v>25335148.84</v>
      </c>
      <c r="S144" s="67">
        <f t="shared" si="208"/>
        <v>0.73031643311905814</v>
      </c>
      <c r="T144" s="66">
        <f>T145+T146+T148</f>
        <v>9877338.1500000004</v>
      </c>
      <c r="U144" s="66">
        <f>U145+U146+U148</f>
        <v>247647.46</v>
      </c>
      <c r="V144" s="66">
        <f>V145+V146+V148</f>
        <v>0</v>
      </c>
      <c r="W144" s="66">
        <f>W145+W146+W148</f>
        <v>0</v>
      </c>
      <c r="X144" s="66">
        <f>X145+X146+X148</f>
        <v>51765.81</v>
      </c>
      <c r="Y144" s="78">
        <f t="shared" si="177"/>
        <v>10073219.799999999</v>
      </c>
      <c r="Z144" s="66">
        <f t="shared" si="111"/>
        <v>10124985.610000001</v>
      </c>
      <c r="AA144" s="66">
        <f>AA145+AA146+AA148</f>
        <v>12218319.109999999</v>
      </c>
      <c r="AB144" s="128">
        <f>AA144/J144</f>
        <v>0.35220788665892139</v>
      </c>
      <c r="AC144" s="66">
        <f>AC145+AC146+AC148</f>
        <v>10124985.609999999</v>
      </c>
      <c r="AD144" s="67">
        <f>AC144/J144</f>
        <v>0.29186500631101048</v>
      </c>
      <c r="AE144" s="133"/>
      <c r="AF144" s="56">
        <f t="shared" si="201"/>
        <v>9355497.1472439952</v>
      </c>
      <c r="AG144" s="57">
        <f t="shared" si="210"/>
        <v>0.26968356688094192</v>
      </c>
      <c r="AH144" s="93"/>
      <c r="AI144" s="99"/>
      <c r="AJ144" s="237" t="s">
        <v>409</v>
      </c>
      <c r="AK144" s="66">
        <f>AK145+AK146+AK147+AK148</f>
        <v>0</v>
      </c>
      <c r="AL144" s="66">
        <f>AL145+AL146+AL147+AL148</f>
        <v>0</v>
      </c>
      <c r="AM144" s="124">
        <v>0</v>
      </c>
      <c r="AN144" s="347"/>
      <c r="AO144" s="66">
        <v>0</v>
      </c>
      <c r="AP144" s="66">
        <f>AP145+AP146+AP147+AP148</f>
        <v>6000000</v>
      </c>
      <c r="AQ144" s="66">
        <f>AQ145+AQ146+AQ147+AQ148</f>
        <v>6000000</v>
      </c>
      <c r="AR144" s="124">
        <f t="shared" si="120"/>
        <v>0.15906753339384264</v>
      </c>
      <c r="AS144" s="93"/>
      <c r="AT144" s="93"/>
      <c r="AU144" s="374"/>
      <c r="AV144" s="25"/>
    </row>
    <row r="145" spans="1:55" ht="64.5" customHeight="1">
      <c r="A145" s="375" t="s">
        <v>77</v>
      </c>
      <c r="B145" s="69" t="s">
        <v>570</v>
      </c>
      <c r="C145" s="70" t="s">
        <v>56</v>
      </c>
      <c r="D145" s="70" t="s">
        <v>155</v>
      </c>
      <c r="E145" s="70"/>
      <c r="F145" s="76">
        <v>17179418.987243999</v>
      </c>
      <c r="G145" s="76">
        <v>24444111</v>
      </c>
      <c r="H145" s="79">
        <v>17179418.987243999</v>
      </c>
      <c r="I145" s="76"/>
      <c r="J145" s="76">
        <v>17179418.987243999</v>
      </c>
      <c r="K145" s="76">
        <v>20208601</v>
      </c>
      <c r="L145" s="76">
        <v>17179418</v>
      </c>
      <c r="M145" s="125">
        <f t="shared" si="144"/>
        <v>0.99999994253333013</v>
      </c>
      <c r="N145" s="76"/>
      <c r="O145" s="127">
        <f t="shared" si="216"/>
        <v>0</v>
      </c>
      <c r="P145" s="348">
        <v>17179418</v>
      </c>
      <c r="Q145" s="73">
        <f t="shared" si="207"/>
        <v>0.99999994253333013</v>
      </c>
      <c r="R145" s="76">
        <v>17179418</v>
      </c>
      <c r="S145" s="73">
        <f t="shared" si="208"/>
        <v>0.99999994253333013</v>
      </c>
      <c r="T145" s="76">
        <v>5301767.8499999996</v>
      </c>
      <c r="U145" s="76">
        <v>0</v>
      </c>
      <c r="V145" s="76">
        <v>0</v>
      </c>
      <c r="W145" s="76">
        <v>0</v>
      </c>
      <c r="X145" s="76">
        <v>0</v>
      </c>
      <c r="Y145" s="76">
        <f t="shared" si="177"/>
        <v>5301767.8499999996</v>
      </c>
      <c r="Z145" s="110">
        <f t="shared" ref="Z145:Z151" si="227">T145+U145+W145</f>
        <v>5301767.8499999996</v>
      </c>
      <c r="AA145" s="110"/>
      <c r="AB145" s="134"/>
      <c r="AC145" s="111">
        <f t="shared" ref="AC145:AC148" si="228">SUM(T145:V145)</f>
        <v>5301767.8499999996</v>
      </c>
      <c r="AD145" s="73">
        <f>AC145/J145</f>
        <v>0.30861159239067687</v>
      </c>
      <c r="AE145" s="125">
        <v>6.5928849444603669E-5</v>
      </c>
      <c r="AF145" s="166">
        <v>0</v>
      </c>
      <c r="AG145" s="167">
        <f t="shared" si="210"/>
        <v>0</v>
      </c>
      <c r="AH145" s="139" t="s">
        <v>329</v>
      </c>
      <c r="AI145" s="139"/>
      <c r="AJ145" s="238" t="s">
        <v>409</v>
      </c>
      <c r="AK145" s="348">
        <v>0</v>
      </c>
      <c r="AL145" s="348">
        <v>0</v>
      </c>
      <c r="AM145" s="125">
        <v>0</v>
      </c>
      <c r="AN145" s="348"/>
      <c r="AO145" s="348">
        <v>0</v>
      </c>
      <c r="AP145" s="92"/>
      <c r="AQ145" s="92"/>
      <c r="AR145" s="125">
        <f t="shared" si="120"/>
        <v>0</v>
      </c>
      <c r="AS145" s="92"/>
      <c r="AT145" s="92"/>
      <c r="AU145" s="382"/>
      <c r="AV145" s="256"/>
      <c r="AW145" s="42"/>
      <c r="AX145" s="42"/>
      <c r="AY145" s="42"/>
    </row>
    <row r="146" spans="1:55" ht="81.75" customHeight="1">
      <c r="A146" s="375" t="s">
        <v>300</v>
      </c>
      <c r="B146" s="69" t="s">
        <v>571</v>
      </c>
      <c r="C146" s="70" t="s">
        <v>56</v>
      </c>
      <c r="D146" s="70" t="s">
        <v>155</v>
      </c>
      <c r="E146" s="70"/>
      <c r="F146" s="76">
        <v>25638289.919999998</v>
      </c>
      <c r="G146" s="76">
        <v>20068096</v>
      </c>
      <c r="H146" s="76">
        <f>G146*G6</f>
        <v>14103938.141184</v>
      </c>
      <c r="I146" s="76"/>
      <c r="J146" s="76">
        <v>14103938</v>
      </c>
      <c r="K146" s="76">
        <v>14103938</v>
      </c>
      <c r="L146" s="76">
        <v>51966270.100000001</v>
      </c>
      <c r="M146" s="125">
        <f t="shared" si="144"/>
        <v>3.6845220178931588</v>
      </c>
      <c r="N146" s="76">
        <v>31740216.710000001</v>
      </c>
      <c r="O146" s="132">
        <f t="shared" si="216"/>
        <v>2.2504506691677175</v>
      </c>
      <c r="P146" s="348">
        <v>8155730.8399999999</v>
      </c>
      <c r="Q146" s="73">
        <f t="shared" si="207"/>
        <v>0.57825912450834649</v>
      </c>
      <c r="R146" s="76">
        <v>8155730.8399999999</v>
      </c>
      <c r="S146" s="73">
        <f t="shared" si="208"/>
        <v>0.57825912450834649</v>
      </c>
      <c r="T146" s="76">
        <v>4575570.3000000007</v>
      </c>
      <c r="U146" s="76">
        <v>247647.46</v>
      </c>
      <c r="V146" s="76">
        <v>0</v>
      </c>
      <c r="W146" s="76">
        <v>0</v>
      </c>
      <c r="X146" s="76">
        <v>51765.81</v>
      </c>
      <c r="Y146" s="76">
        <f t="shared" si="177"/>
        <v>4771451.9500000011</v>
      </c>
      <c r="Z146" s="77">
        <f t="shared" si="227"/>
        <v>4823217.7600000007</v>
      </c>
      <c r="AA146" s="77">
        <v>12218319.109999999</v>
      </c>
      <c r="AB146" s="131">
        <f>AA146/J146</f>
        <v>0.86630550347002377</v>
      </c>
      <c r="AC146" s="113">
        <f t="shared" si="228"/>
        <v>4823217.7600000007</v>
      </c>
      <c r="AD146" s="73">
        <f>AC146/J146</f>
        <v>0.34197667062915343</v>
      </c>
      <c r="AE146" s="125">
        <v>3.9066575736960561E-2</v>
      </c>
      <c r="AF146" s="169">
        <f t="shared" ref="AF146:AF157" si="229">J146-R146</f>
        <v>5948207.1600000001</v>
      </c>
      <c r="AG146" s="177">
        <f t="shared" si="210"/>
        <v>0.42174087549165346</v>
      </c>
      <c r="AH146" s="140" t="s">
        <v>330</v>
      </c>
      <c r="AI146" s="140"/>
      <c r="AJ146" s="238" t="s">
        <v>409</v>
      </c>
      <c r="AK146" s="348">
        <v>0</v>
      </c>
      <c r="AL146" s="348">
        <v>0</v>
      </c>
      <c r="AM146" s="125">
        <v>0</v>
      </c>
      <c r="AN146" s="171"/>
      <c r="AO146" s="348">
        <v>0</v>
      </c>
      <c r="AP146" s="92"/>
      <c r="AQ146" s="92"/>
      <c r="AR146" s="125">
        <f t="shared" si="120"/>
        <v>0</v>
      </c>
      <c r="AS146" s="165"/>
      <c r="AT146" s="69"/>
      <c r="AU146" s="382"/>
      <c r="AV146" s="256"/>
      <c r="AW146" s="42"/>
      <c r="AX146" s="42"/>
      <c r="AY146" s="42"/>
    </row>
    <row r="147" spans="1:55" ht="266.25" customHeight="1">
      <c r="A147" s="377" t="s">
        <v>717</v>
      </c>
      <c r="B147" s="345" t="s">
        <v>718</v>
      </c>
      <c r="C147" s="178" t="s">
        <v>56</v>
      </c>
      <c r="D147" s="178" t="s">
        <v>155</v>
      </c>
      <c r="E147" s="345"/>
      <c r="F147" s="345"/>
      <c r="G147" s="345"/>
      <c r="H147" s="345"/>
      <c r="I147" s="345"/>
      <c r="J147" s="182">
        <v>6200000</v>
      </c>
      <c r="K147" s="182">
        <v>6200000</v>
      </c>
      <c r="L147" s="345"/>
      <c r="M147" s="345"/>
      <c r="N147" s="345"/>
      <c r="O147" s="345"/>
      <c r="P147" s="345"/>
      <c r="Q147" s="345"/>
      <c r="R147" s="345"/>
      <c r="S147" s="345"/>
      <c r="T147" s="345"/>
      <c r="U147" s="345"/>
      <c r="V147" s="345"/>
      <c r="W147" s="345"/>
      <c r="X147" s="345"/>
      <c r="Y147" s="345"/>
      <c r="Z147" s="345"/>
      <c r="AA147" s="345"/>
      <c r="AB147" s="345"/>
      <c r="AC147" s="345"/>
      <c r="AD147" s="345"/>
      <c r="AE147" s="345"/>
      <c r="AF147" s="345"/>
      <c r="AG147" s="345"/>
      <c r="AH147" s="345"/>
      <c r="AI147" s="345"/>
      <c r="AJ147" s="239" t="s">
        <v>409</v>
      </c>
      <c r="AK147" s="182">
        <v>0</v>
      </c>
      <c r="AL147" s="182">
        <v>0</v>
      </c>
      <c r="AM147" s="352">
        <f>AL147/K147</f>
        <v>0</v>
      </c>
      <c r="AN147" s="345"/>
      <c r="AO147" s="345"/>
      <c r="AP147" s="182">
        <v>6000000</v>
      </c>
      <c r="AQ147" s="182">
        <v>6000000</v>
      </c>
      <c r="AR147" s="352">
        <f t="shared" si="120"/>
        <v>0.967741935483871</v>
      </c>
      <c r="AS147" s="353" t="s">
        <v>433</v>
      </c>
      <c r="AT147" s="345" t="s">
        <v>729</v>
      </c>
      <c r="AU147" s="395"/>
      <c r="AV147" s="256"/>
      <c r="AW147" s="42"/>
      <c r="AX147" s="42"/>
      <c r="AY147" s="42"/>
    </row>
    <row r="148" spans="1:55" s="50" customFormat="1" ht="33.6" customHeight="1">
      <c r="A148" s="375" t="s">
        <v>78</v>
      </c>
      <c r="B148" s="69" t="s">
        <v>572</v>
      </c>
      <c r="C148" s="70" t="s">
        <v>56</v>
      </c>
      <c r="D148" s="70" t="s">
        <v>155</v>
      </c>
      <c r="E148" s="70"/>
      <c r="F148" s="76">
        <v>4298271.2527559996</v>
      </c>
      <c r="G148" s="76">
        <v>4848135</v>
      </c>
      <c r="H148" s="79">
        <f>G148*G6</f>
        <v>3407288.6705399998</v>
      </c>
      <c r="I148" s="76"/>
      <c r="J148" s="76">
        <v>3407289</v>
      </c>
      <c r="K148" s="76">
        <v>3407289</v>
      </c>
      <c r="L148" s="76"/>
      <c r="M148" s="125">
        <f t="shared" si="144"/>
        <v>0</v>
      </c>
      <c r="N148" s="76"/>
      <c r="O148" s="127">
        <f t="shared" si="216"/>
        <v>0</v>
      </c>
      <c r="P148" s="348">
        <v>0</v>
      </c>
      <c r="Q148" s="73">
        <v>0</v>
      </c>
      <c r="R148" s="76">
        <v>0</v>
      </c>
      <c r="S148" s="73">
        <v>0</v>
      </c>
      <c r="T148" s="76">
        <v>0</v>
      </c>
      <c r="U148" s="76">
        <v>0</v>
      </c>
      <c r="V148" s="76">
        <v>0</v>
      </c>
      <c r="W148" s="76">
        <v>0</v>
      </c>
      <c r="X148" s="76">
        <v>0</v>
      </c>
      <c r="Y148" s="76">
        <f t="shared" si="177"/>
        <v>0</v>
      </c>
      <c r="Z148" s="110">
        <f t="shared" si="227"/>
        <v>0</v>
      </c>
      <c r="AA148" s="110"/>
      <c r="AB148" s="134"/>
      <c r="AC148" s="111">
        <f t="shared" si="228"/>
        <v>0</v>
      </c>
      <c r="AD148" s="73">
        <v>0</v>
      </c>
      <c r="AE148" s="125"/>
      <c r="AF148" s="166">
        <f t="shared" si="229"/>
        <v>3407289</v>
      </c>
      <c r="AG148" s="167">
        <f t="shared" si="210"/>
        <v>1</v>
      </c>
      <c r="AH148" s="92"/>
      <c r="AI148" s="348"/>
      <c r="AJ148" s="238" t="s">
        <v>409</v>
      </c>
      <c r="AK148" s="348">
        <v>0</v>
      </c>
      <c r="AL148" s="348">
        <v>0</v>
      </c>
      <c r="AM148" s="125">
        <v>0</v>
      </c>
      <c r="AN148" s="348"/>
      <c r="AO148" s="348">
        <v>0</v>
      </c>
      <c r="AP148" s="92"/>
      <c r="AQ148" s="92"/>
      <c r="AR148" s="125">
        <f t="shared" ref="AR148:AR211" si="230">AQ148/K148</f>
        <v>0</v>
      </c>
      <c r="AS148" s="92"/>
      <c r="AT148" s="92"/>
      <c r="AU148" s="382"/>
      <c r="AV148" s="256"/>
    </row>
    <row r="149" spans="1:55" s="50" customFormat="1" ht="67.150000000000006" customHeight="1">
      <c r="A149" s="373" t="s">
        <v>301</v>
      </c>
      <c r="B149" s="64" t="s">
        <v>529</v>
      </c>
      <c r="C149" s="65" t="s">
        <v>56</v>
      </c>
      <c r="D149" s="65" t="s">
        <v>157</v>
      </c>
      <c r="E149" s="65"/>
      <c r="F149" s="347">
        <v>17948876</v>
      </c>
      <c r="G149" s="347"/>
      <c r="H149" s="90">
        <f t="shared" ref="H149:H150" si="231">H150</f>
        <v>16153989.297024</v>
      </c>
      <c r="I149" s="347"/>
      <c r="J149" s="347">
        <f t="shared" ref="J149:P150" si="232">J150</f>
        <v>16153989.297024</v>
      </c>
      <c r="K149" s="347">
        <f>K150</f>
        <v>16153989</v>
      </c>
      <c r="L149" s="347">
        <f t="shared" si="232"/>
        <v>15119930.74</v>
      </c>
      <c r="M149" s="124">
        <f t="shared" si="144"/>
        <v>0.93598741846297362</v>
      </c>
      <c r="N149" s="347">
        <f t="shared" si="232"/>
        <v>0</v>
      </c>
      <c r="O149" s="121">
        <f t="shared" si="216"/>
        <v>0</v>
      </c>
      <c r="P149" s="66">
        <f t="shared" si="232"/>
        <v>15409970.640000001</v>
      </c>
      <c r="Q149" s="67">
        <f t="shared" ref="Q149:Q160" si="233">P149/J149</f>
        <v>0.95394211031444298</v>
      </c>
      <c r="R149" s="66">
        <f t="shared" ref="R149:R150" si="234">R150</f>
        <v>15409970.640000001</v>
      </c>
      <c r="S149" s="67">
        <f t="shared" ref="S149:S160" si="235">R149/J149</f>
        <v>0.95394211031444298</v>
      </c>
      <c r="T149" s="66">
        <f t="shared" ref="T149:X150" si="236">T150</f>
        <v>6001445.3099999996</v>
      </c>
      <c r="U149" s="66">
        <f t="shared" si="236"/>
        <v>0</v>
      </c>
      <c r="V149" s="66">
        <f t="shared" si="236"/>
        <v>0</v>
      </c>
      <c r="W149" s="66">
        <f t="shared" si="236"/>
        <v>0</v>
      </c>
      <c r="X149" s="66">
        <f t="shared" si="236"/>
        <v>0</v>
      </c>
      <c r="Y149" s="78">
        <f t="shared" si="177"/>
        <v>6001445.3099999996</v>
      </c>
      <c r="Z149" s="66">
        <f t="shared" si="227"/>
        <v>6001445.3099999996</v>
      </c>
      <c r="AA149" s="66">
        <f t="shared" ref="AA149:AA150" si="237">AA150</f>
        <v>0</v>
      </c>
      <c r="AB149" s="128">
        <f>AA149/J149</f>
        <v>0</v>
      </c>
      <c r="AC149" s="66">
        <f>AC150</f>
        <v>6001445.3099999996</v>
      </c>
      <c r="AD149" s="67">
        <f t="shared" ref="AD149:AD160" si="238">AC149/J149</f>
        <v>0.37151475091701514</v>
      </c>
      <c r="AE149" s="133">
        <f>AE150</f>
        <v>1.3838308591882618E-2</v>
      </c>
      <c r="AF149" s="56">
        <f t="shared" si="229"/>
        <v>744018.65702399984</v>
      </c>
      <c r="AG149" s="57">
        <f t="shared" si="210"/>
        <v>4.6057889685556998E-2</v>
      </c>
      <c r="AH149" s="93"/>
      <c r="AI149" s="99"/>
      <c r="AJ149" s="237" t="s">
        <v>409</v>
      </c>
      <c r="AK149" s="348">
        <v>0</v>
      </c>
      <c r="AL149" s="348">
        <v>0</v>
      </c>
      <c r="AM149" s="125">
        <v>0</v>
      </c>
      <c r="AN149" s="347"/>
      <c r="AO149" s="348">
        <v>0</v>
      </c>
      <c r="AP149" s="93"/>
      <c r="AQ149" s="93"/>
      <c r="AR149" s="125">
        <f t="shared" si="230"/>
        <v>0</v>
      </c>
      <c r="AS149" s="93"/>
      <c r="AT149" s="93"/>
      <c r="AU149" s="382"/>
      <c r="AV149" s="256"/>
    </row>
    <row r="150" spans="1:55" ht="66">
      <c r="A150" s="373" t="s">
        <v>205</v>
      </c>
      <c r="B150" s="64" t="s">
        <v>573</v>
      </c>
      <c r="C150" s="65" t="s">
        <v>56</v>
      </c>
      <c r="D150" s="65" t="s">
        <v>157</v>
      </c>
      <c r="E150" s="65"/>
      <c r="F150" s="84">
        <v>17948876.199999999</v>
      </c>
      <c r="G150" s="347"/>
      <c r="H150" s="90">
        <f t="shared" si="231"/>
        <v>16153989.297024</v>
      </c>
      <c r="I150" s="347"/>
      <c r="J150" s="347">
        <f t="shared" si="232"/>
        <v>16153989.297024</v>
      </c>
      <c r="K150" s="347">
        <f>K151</f>
        <v>16153989</v>
      </c>
      <c r="L150" s="347">
        <f t="shared" si="232"/>
        <v>15119930.74</v>
      </c>
      <c r="M150" s="124">
        <f t="shared" si="144"/>
        <v>0.93598741846297362</v>
      </c>
      <c r="N150" s="347">
        <f t="shared" si="232"/>
        <v>0</v>
      </c>
      <c r="O150" s="121">
        <f t="shared" si="216"/>
        <v>0</v>
      </c>
      <c r="P150" s="66">
        <f t="shared" si="232"/>
        <v>15409970.640000001</v>
      </c>
      <c r="Q150" s="67">
        <f t="shared" si="233"/>
        <v>0.95394211031444298</v>
      </c>
      <c r="R150" s="66">
        <f t="shared" si="234"/>
        <v>15409970.640000001</v>
      </c>
      <c r="S150" s="67">
        <f t="shared" si="235"/>
        <v>0.95394211031444298</v>
      </c>
      <c r="T150" s="66">
        <f t="shared" si="236"/>
        <v>6001445.3099999996</v>
      </c>
      <c r="U150" s="66">
        <f t="shared" si="236"/>
        <v>0</v>
      </c>
      <c r="V150" s="66">
        <f t="shared" si="236"/>
        <v>0</v>
      </c>
      <c r="W150" s="66">
        <f t="shared" si="236"/>
        <v>0</v>
      </c>
      <c r="X150" s="66">
        <f t="shared" si="236"/>
        <v>0</v>
      </c>
      <c r="Y150" s="78">
        <f t="shared" si="177"/>
        <v>6001445.3099999996</v>
      </c>
      <c r="Z150" s="111">
        <f>T150+U150+W150</f>
        <v>6001445.3099999996</v>
      </c>
      <c r="AA150" s="66">
        <f t="shared" si="237"/>
        <v>0</v>
      </c>
      <c r="AB150" s="128">
        <f>AA150/J150</f>
        <v>0</v>
      </c>
      <c r="AC150" s="66">
        <f>AC151</f>
        <v>6001445.3099999996</v>
      </c>
      <c r="AD150" s="67">
        <f t="shared" si="238"/>
        <v>0.37151475091701514</v>
      </c>
      <c r="AE150" s="133">
        <f>AE151</f>
        <v>1.3838308591882618E-2</v>
      </c>
      <c r="AF150" s="56">
        <f t="shared" si="229"/>
        <v>744018.65702399984</v>
      </c>
      <c r="AG150" s="57">
        <f t="shared" si="210"/>
        <v>4.6057889685556998E-2</v>
      </c>
      <c r="AH150" s="93"/>
      <c r="AI150" s="99"/>
      <c r="AJ150" s="237" t="s">
        <v>409</v>
      </c>
      <c r="AK150" s="348">
        <v>0</v>
      </c>
      <c r="AL150" s="348">
        <v>0</v>
      </c>
      <c r="AM150" s="125">
        <v>0</v>
      </c>
      <c r="AN150" s="347"/>
      <c r="AO150" s="348">
        <v>0</v>
      </c>
      <c r="AP150" s="93"/>
      <c r="AQ150" s="93"/>
      <c r="AR150" s="125">
        <f t="shared" si="230"/>
        <v>0</v>
      </c>
      <c r="AS150" s="93"/>
      <c r="AT150" s="93"/>
      <c r="AU150" s="382"/>
      <c r="AV150" s="256"/>
      <c r="AW150" s="42"/>
      <c r="AX150" s="42"/>
      <c r="AY150" s="42"/>
    </row>
    <row r="151" spans="1:55" s="50" customFormat="1" ht="74.25" customHeight="1">
      <c r="A151" s="375" t="s">
        <v>302</v>
      </c>
      <c r="B151" s="69" t="s">
        <v>531</v>
      </c>
      <c r="C151" s="70" t="s">
        <v>56</v>
      </c>
      <c r="D151" s="70" t="s">
        <v>157</v>
      </c>
      <c r="E151" s="70"/>
      <c r="F151" s="76">
        <v>17948876.199999999</v>
      </c>
      <c r="G151" s="76"/>
      <c r="H151" s="76">
        <v>16153989.297024</v>
      </c>
      <c r="I151" s="76"/>
      <c r="J151" s="76">
        <v>16153989.297024</v>
      </c>
      <c r="K151" s="76">
        <v>16153989</v>
      </c>
      <c r="L151" s="348">
        <v>15119930.74</v>
      </c>
      <c r="M151" s="125">
        <f t="shared" si="144"/>
        <v>0.93598741846297362</v>
      </c>
      <c r="N151" s="348"/>
      <c r="O151" s="127">
        <f t="shared" si="216"/>
        <v>0</v>
      </c>
      <c r="P151" s="348">
        <v>15409970.640000001</v>
      </c>
      <c r="Q151" s="73">
        <f t="shared" si="233"/>
        <v>0.95394211031444298</v>
      </c>
      <c r="R151" s="76">
        <v>15409970.640000001</v>
      </c>
      <c r="S151" s="73">
        <f t="shared" si="235"/>
        <v>0.95394211031444298</v>
      </c>
      <c r="T151" s="76">
        <v>6001445.3099999996</v>
      </c>
      <c r="U151" s="76">
        <v>0</v>
      </c>
      <c r="V151" s="76">
        <v>0</v>
      </c>
      <c r="W151" s="76">
        <v>0</v>
      </c>
      <c r="X151" s="76">
        <v>0</v>
      </c>
      <c r="Y151" s="110">
        <f>AC151-X151</f>
        <v>6001445.3099999996</v>
      </c>
      <c r="Z151" s="110">
        <f t="shared" si="227"/>
        <v>6001445.3099999996</v>
      </c>
      <c r="AA151" s="110"/>
      <c r="AB151" s="134"/>
      <c r="AC151" s="111">
        <f>SUM(T151:V151)</f>
        <v>6001445.3099999996</v>
      </c>
      <c r="AD151" s="73">
        <f t="shared" si="238"/>
        <v>0.37151475091701514</v>
      </c>
      <c r="AE151" s="73">
        <v>1.3838308591882618E-2</v>
      </c>
      <c r="AF151" s="166">
        <f t="shared" si="229"/>
        <v>744018.65702399984</v>
      </c>
      <c r="AG151" s="167">
        <f t="shared" si="210"/>
        <v>4.6057889685556998E-2</v>
      </c>
      <c r="AH151" s="162" t="s">
        <v>404</v>
      </c>
      <c r="AI151" s="222"/>
      <c r="AJ151" s="238" t="s">
        <v>409</v>
      </c>
      <c r="AK151" s="348">
        <v>0</v>
      </c>
      <c r="AL151" s="348">
        <v>0</v>
      </c>
      <c r="AM151" s="125">
        <v>0</v>
      </c>
      <c r="AN151" s="348"/>
      <c r="AO151" s="348">
        <v>0</v>
      </c>
      <c r="AP151" s="92"/>
      <c r="AQ151" s="92"/>
      <c r="AR151" s="125">
        <f t="shared" si="230"/>
        <v>0</v>
      </c>
      <c r="AS151" s="92"/>
      <c r="AT151" s="92"/>
      <c r="AU151" s="382"/>
      <c r="AV151" s="262"/>
      <c r="AW151" s="289"/>
      <c r="AX151" s="245"/>
      <c r="AY151" s="245"/>
      <c r="AZ151" s="310"/>
      <c r="BA151" s="310"/>
      <c r="BB151" s="310"/>
      <c r="BC151" s="310"/>
    </row>
    <row r="152" spans="1:55" s="50" customFormat="1" ht="51.75">
      <c r="A152" s="371" t="s">
        <v>79</v>
      </c>
      <c r="B152" s="59" t="s">
        <v>574</v>
      </c>
      <c r="C152" s="60" t="s">
        <v>148</v>
      </c>
      <c r="D152" s="60" t="s">
        <v>1</v>
      </c>
      <c r="E152" s="61"/>
      <c r="F152" s="346">
        <f>F155+F186+F204+F214+F235+F251+F258+F261</f>
        <v>2256431635.6594682</v>
      </c>
      <c r="G152" s="346"/>
      <c r="H152" s="346">
        <f>H155+H186+H204+H214+H235+H251+H258+H261</f>
        <v>2256431635.6594682</v>
      </c>
      <c r="I152" s="346"/>
      <c r="J152" s="346">
        <f>J155+J186+J204+J214+J235+J251+J258+J261</f>
        <v>2256431635.6594682</v>
      </c>
      <c r="K152" s="311">
        <f>K155+K186+K204+K214+K235+K251+K258+K261</f>
        <v>2382750918.0128522</v>
      </c>
      <c r="L152" s="346">
        <f t="shared" ref="L152:AI152" si="239">L155+L186+L204+L214+L235+L251+L258+L261</f>
        <v>2501454884.6900001</v>
      </c>
      <c r="M152" s="346" t="e">
        <f t="shared" si="239"/>
        <v>#DIV/0!</v>
      </c>
      <c r="N152" s="346">
        <f t="shared" si="239"/>
        <v>357225951.73000002</v>
      </c>
      <c r="O152" s="346" t="e">
        <f t="shared" si="239"/>
        <v>#DIV/0!</v>
      </c>
      <c r="P152" s="346">
        <f t="shared" si="239"/>
        <v>1953049430.26</v>
      </c>
      <c r="Q152" s="346">
        <f t="shared" si="239"/>
        <v>50.193026742336045</v>
      </c>
      <c r="R152" s="346">
        <f t="shared" si="239"/>
        <v>1939770623.3799999</v>
      </c>
      <c r="S152" s="346">
        <f t="shared" si="239"/>
        <v>49.445039439166017</v>
      </c>
      <c r="T152" s="346">
        <f t="shared" si="239"/>
        <v>533555704.00999999</v>
      </c>
      <c r="U152" s="346">
        <f t="shared" si="239"/>
        <v>9695423.129999999</v>
      </c>
      <c r="V152" s="346">
        <f t="shared" si="239"/>
        <v>404877546.62</v>
      </c>
      <c r="W152" s="346">
        <f t="shared" si="239"/>
        <v>103521060.87</v>
      </c>
      <c r="X152" s="346">
        <f t="shared" ca="1" si="239"/>
        <v>6830151.2400000002</v>
      </c>
      <c r="Y152" s="346">
        <f t="shared" ca="1" si="239"/>
        <v>941298522.5200001</v>
      </c>
      <c r="Z152" s="346">
        <f t="shared" si="239"/>
        <v>646772188.00999999</v>
      </c>
      <c r="AA152" s="346">
        <f t="shared" si="239"/>
        <v>97888633.166944236</v>
      </c>
      <c r="AB152" s="346">
        <f t="shared" si="239"/>
        <v>2.0360894708136672</v>
      </c>
      <c r="AC152" s="346">
        <f t="shared" si="239"/>
        <v>948128673.75999999</v>
      </c>
      <c r="AD152" s="346">
        <f t="shared" si="239"/>
        <v>24.770578754150094</v>
      </c>
      <c r="AE152" s="346">
        <f t="shared" si="239"/>
        <v>0.4186758175376355</v>
      </c>
      <c r="AF152" s="346">
        <f t="shared" si="239"/>
        <v>316661006.42555195</v>
      </c>
      <c r="AG152" s="346" t="e">
        <f t="shared" si="239"/>
        <v>#DIV/0!</v>
      </c>
      <c r="AH152" s="346" t="e">
        <f t="shared" si="239"/>
        <v>#VALUE!</v>
      </c>
      <c r="AI152" s="346">
        <f t="shared" si="239"/>
        <v>2732598309.2396169</v>
      </c>
      <c r="AJ152" s="241" t="s">
        <v>408</v>
      </c>
      <c r="AK152" s="346">
        <f>AK155+AK186+AK204+AK214+AK235+AK251+AK258+AK261</f>
        <v>147458195.82064852</v>
      </c>
      <c r="AL152" s="312">
        <f>AL155+AL186+AL204+AL214+AL235+AL251+AL258+AL261</f>
        <v>156951817.54405802</v>
      </c>
      <c r="AM152" s="307">
        <f t="shared" ref="AM152:AM154" si="240">AL152/K152</f>
        <v>6.5870006116691152E-2</v>
      </c>
      <c r="AN152" s="346"/>
      <c r="AO152" s="346">
        <f>AO153+AO154</f>
        <v>160041278.54405802</v>
      </c>
      <c r="AP152" s="312">
        <f>AP155+AP186+AP204+AP214+AP235+AP251+AP258+AP261</f>
        <v>203666412.54405802</v>
      </c>
      <c r="AQ152" s="312">
        <f>AQ155+AQ186+AQ204+AQ214+AQ235+AQ251+AQ258+AQ261</f>
        <v>170334656.54405802</v>
      </c>
      <c r="AR152" s="307">
        <f t="shared" si="230"/>
        <v>7.1486555836105761E-2</v>
      </c>
      <c r="AS152" s="346"/>
      <c r="AT152" s="346"/>
      <c r="AU152" s="396">
        <f>AU153+AU154</f>
        <v>11632889.058823533</v>
      </c>
      <c r="AV152" s="262"/>
      <c r="AW152" s="289"/>
      <c r="AX152" s="245"/>
      <c r="AY152" s="245"/>
    </row>
    <row r="153" spans="1:55" s="50" customFormat="1">
      <c r="A153" s="371" t="s">
        <v>79</v>
      </c>
      <c r="B153" s="59" t="s">
        <v>575</v>
      </c>
      <c r="C153" s="60" t="s">
        <v>56</v>
      </c>
      <c r="D153" s="60" t="s">
        <v>1</v>
      </c>
      <c r="E153" s="61"/>
      <c r="F153" s="346">
        <f>F155+F186+F214+F251+F258</f>
        <v>1174270515.104856</v>
      </c>
      <c r="G153" s="346"/>
      <c r="H153" s="346">
        <f>H155+H186+H214+H251+H258</f>
        <v>1174270515.104856</v>
      </c>
      <c r="I153" s="346"/>
      <c r="J153" s="346">
        <f>J155+J186+J214+J251+J258</f>
        <v>1174270515.104856</v>
      </c>
      <c r="K153" s="311">
        <f>K155+K186+K214+K251+K258</f>
        <v>1242973338.6968999</v>
      </c>
      <c r="L153" s="346">
        <f t="shared" ref="L153:AI153" si="241">L155+L186+L214+L251+L258</f>
        <v>1337631846.4000001</v>
      </c>
      <c r="M153" s="346" t="e">
        <f t="shared" si="241"/>
        <v>#DIV/0!</v>
      </c>
      <c r="N153" s="346">
        <f t="shared" si="241"/>
        <v>267705646</v>
      </c>
      <c r="O153" s="346" t="e">
        <f t="shared" si="241"/>
        <v>#DIV/0!</v>
      </c>
      <c r="P153" s="346">
        <f t="shared" si="241"/>
        <v>991460620.42000008</v>
      </c>
      <c r="Q153" s="346">
        <f t="shared" si="241"/>
        <v>37.84395540774733</v>
      </c>
      <c r="R153" s="346">
        <f t="shared" si="241"/>
        <v>985776778.29999995</v>
      </c>
      <c r="S153" s="346">
        <f t="shared" si="241"/>
        <v>37.649148629498669</v>
      </c>
      <c r="T153" s="346">
        <f t="shared" si="241"/>
        <v>281952272.50999999</v>
      </c>
      <c r="U153" s="346">
        <f t="shared" si="241"/>
        <v>0</v>
      </c>
      <c r="V153" s="346">
        <f t="shared" si="241"/>
        <v>209667330.50999999</v>
      </c>
      <c r="W153" s="346">
        <f t="shared" si="241"/>
        <v>67103464.060000002</v>
      </c>
      <c r="X153" s="346">
        <f t="shared" si="241"/>
        <v>3772453.6399999997</v>
      </c>
      <c r="Y153" s="346">
        <f t="shared" si="241"/>
        <v>487847149.38000005</v>
      </c>
      <c r="Z153" s="346">
        <f t="shared" si="241"/>
        <v>349055736.57000005</v>
      </c>
      <c r="AA153" s="346">
        <f t="shared" si="241"/>
        <v>22582033.140000001</v>
      </c>
      <c r="AB153" s="346">
        <f t="shared" si="241"/>
        <v>1.3395256481449942</v>
      </c>
      <c r="AC153" s="346">
        <f t="shared" si="241"/>
        <v>491619603.02000004</v>
      </c>
      <c r="AD153" s="346">
        <f t="shared" si="241"/>
        <v>19.813749604191447</v>
      </c>
      <c r="AE153" s="346">
        <f t="shared" si="241"/>
        <v>0.40094756745438931</v>
      </c>
      <c r="AF153" s="346">
        <f t="shared" si="241"/>
        <v>188493732.23281202</v>
      </c>
      <c r="AG153" s="346" t="e">
        <f t="shared" si="241"/>
        <v>#DIV/0!</v>
      </c>
      <c r="AH153" s="346" t="e">
        <f t="shared" si="241"/>
        <v>#VALUE!</v>
      </c>
      <c r="AI153" s="346">
        <f t="shared" si="241"/>
        <v>1382289098.9211719</v>
      </c>
      <c r="AJ153" s="241" t="s">
        <v>408</v>
      </c>
      <c r="AK153" s="346">
        <f>AK155+AK186+AK214+AK251+AK258</f>
        <v>108341230.37017849</v>
      </c>
      <c r="AL153" s="312">
        <f>AL155+AL186+AL214+AL251+AL258</f>
        <v>112527700</v>
      </c>
      <c r="AM153" s="307">
        <f t="shared" si="240"/>
        <v>9.0531064904393721E-2</v>
      </c>
      <c r="AN153" s="346"/>
      <c r="AO153" s="346">
        <f>AO155+AO186+AO232+AO251+AO258</f>
        <v>115617161</v>
      </c>
      <c r="AP153" s="312">
        <f>AP155+AP186+AP214+AP251+AP258</f>
        <v>156459456</v>
      </c>
      <c r="AQ153" s="312">
        <f>AQ155+AQ186+AQ214+AQ251+AQ258</f>
        <v>123127700</v>
      </c>
      <c r="AR153" s="307">
        <f t="shared" si="230"/>
        <v>9.9059003251899036E-2</v>
      </c>
      <c r="AS153" s="346"/>
      <c r="AT153" s="346"/>
      <c r="AU153" s="396">
        <f>AU155+AU186+AU232+AU251+AU258</f>
        <v>11264494.235294122</v>
      </c>
      <c r="AV153" s="262"/>
      <c r="AW153" s="289"/>
      <c r="AX153" s="245"/>
      <c r="AY153" s="245"/>
    </row>
    <row r="154" spans="1:55" s="94" customFormat="1">
      <c r="A154" s="371" t="s">
        <v>79</v>
      </c>
      <c r="B154" s="59" t="s">
        <v>576</v>
      </c>
      <c r="C154" s="60" t="s">
        <v>171</v>
      </c>
      <c r="D154" s="60" t="s">
        <v>1</v>
      </c>
      <c r="E154" s="61"/>
      <c r="F154" s="346">
        <f>F204+F235+F261</f>
        <v>1082161120.5546119</v>
      </c>
      <c r="G154" s="346"/>
      <c r="H154" s="346">
        <f>H204+H235+H261</f>
        <v>1082161120.5546119</v>
      </c>
      <c r="I154" s="346"/>
      <c r="J154" s="346">
        <f>J204+J235+J261</f>
        <v>1082161120.5546119</v>
      </c>
      <c r="K154" s="311">
        <f>K204+K235+K261</f>
        <v>1139777579.3159521</v>
      </c>
      <c r="L154" s="346">
        <f t="shared" ref="L154:AI154" si="242">L204+L235+L261</f>
        <v>1163823038.29</v>
      </c>
      <c r="M154" s="346">
        <f t="shared" si="242"/>
        <v>18.008977062506695</v>
      </c>
      <c r="N154" s="346">
        <f t="shared" si="242"/>
        <v>89520305.730000004</v>
      </c>
      <c r="O154" s="346">
        <f t="shared" si="242"/>
        <v>3.8171440077539822</v>
      </c>
      <c r="P154" s="346">
        <f t="shared" si="242"/>
        <v>961588809.84000015</v>
      </c>
      <c r="Q154" s="346">
        <f t="shared" si="242"/>
        <v>12.349071334588714</v>
      </c>
      <c r="R154" s="346">
        <f t="shared" si="242"/>
        <v>953993845.08000004</v>
      </c>
      <c r="S154" s="346">
        <f t="shared" si="242"/>
        <v>11.795890809667345</v>
      </c>
      <c r="T154" s="346">
        <f t="shared" si="242"/>
        <v>251603431.50000003</v>
      </c>
      <c r="U154" s="346">
        <f t="shared" si="242"/>
        <v>9695423.129999999</v>
      </c>
      <c r="V154" s="346">
        <f t="shared" si="242"/>
        <v>195210216.11000001</v>
      </c>
      <c r="W154" s="346">
        <f t="shared" si="242"/>
        <v>36417596.810000002</v>
      </c>
      <c r="X154" s="346">
        <f t="shared" ca="1" si="242"/>
        <v>3057697.6</v>
      </c>
      <c r="Y154" s="346">
        <f t="shared" ca="1" si="242"/>
        <v>453451373.14000005</v>
      </c>
      <c r="Z154" s="346">
        <f t="shared" si="242"/>
        <v>297716451.44</v>
      </c>
      <c r="AA154" s="346">
        <f t="shared" si="242"/>
        <v>75306600.02694422</v>
      </c>
      <c r="AB154" s="346">
        <f t="shared" si="242"/>
        <v>0.69656382266867323</v>
      </c>
      <c r="AC154" s="346">
        <f t="shared" si="242"/>
        <v>456509070.74000007</v>
      </c>
      <c r="AD154" s="346">
        <f t="shared" si="242"/>
        <v>4.9568291499586472</v>
      </c>
      <c r="AE154" s="346">
        <f t="shared" si="242"/>
        <v>1.7728250083246192E-2</v>
      </c>
      <c r="AF154" s="346">
        <f t="shared" si="242"/>
        <v>128167274.19273999</v>
      </c>
      <c r="AG154" s="346" t="e">
        <f t="shared" si="242"/>
        <v>#DIV/0!</v>
      </c>
      <c r="AH154" s="346" t="e">
        <f t="shared" si="242"/>
        <v>#VALUE!</v>
      </c>
      <c r="AI154" s="346">
        <f t="shared" si="242"/>
        <v>1350309210.318444</v>
      </c>
      <c r="AJ154" s="241" t="s">
        <v>408</v>
      </c>
      <c r="AK154" s="346">
        <f>AK204+AK235+AK261</f>
        <v>39116965.45047003</v>
      </c>
      <c r="AL154" s="312">
        <f>AL204+AL235+AL261</f>
        <v>44424117.54405801</v>
      </c>
      <c r="AM154" s="307">
        <f t="shared" si="240"/>
        <v>3.8976128632675466E-2</v>
      </c>
      <c r="AN154" s="346"/>
      <c r="AO154" s="346">
        <f>AO204+AO235+AO261</f>
        <v>44424117.54405801</v>
      </c>
      <c r="AP154" s="312">
        <f>AP204+AP235+AP261</f>
        <v>47206956.54405801</v>
      </c>
      <c r="AQ154" s="312">
        <f>AQ204+AQ235+AQ261</f>
        <v>47206956.54405801</v>
      </c>
      <c r="AR154" s="307">
        <f t="shared" si="230"/>
        <v>4.1417691838077475E-2</v>
      </c>
      <c r="AS154" s="346"/>
      <c r="AT154" s="346"/>
      <c r="AU154" s="396">
        <f>AU204+AU235+AU261</f>
        <v>368394.82352941157</v>
      </c>
      <c r="AV154" s="255"/>
      <c r="AW154" s="289"/>
      <c r="AX154" s="245"/>
      <c r="AY154" s="245"/>
    </row>
    <row r="155" spans="1:55" s="94" customFormat="1" ht="49.5">
      <c r="A155" s="373" t="s">
        <v>80</v>
      </c>
      <c r="B155" s="64" t="s">
        <v>577</v>
      </c>
      <c r="C155" s="65" t="s">
        <v>56</v>
      </c>
      <c r="D155" s="65" t="s">
        <v>1</v>
      </c>
      <c r="E155" s="66"/>
      <c r="F155" s="347">
        <f>F156+F159+F162+F168+F178</f>
        <v>354651228.75374401</v>
      </c>
      <c r="G155" s="347"/>
      <c r="H155" s="347">
        <f>H156+H159+H162+H168+H178</f>
        <v>354651228.75374401</v>
      </c>
      <c r="I155" s="347"/>
      <c r="J155" s="347">
        <f>J156+J159+J162+J168+J178</f>
        <v>354651228.75374401</v>
      </c>
      <c r="K155" s="173">
        <f>K156+K159+K162+K168+K178</f>
        <v>386675299.12993193</v>
      </c>
      <c r="L155" s="347">
        <f t="shared" ref="L155:AI155" si="243">L156+L159+L162+L168+L178</f>
        <v>379817151.5</v>
      </c>
      <c r="M155" s="347" t="e">
        <f t="shared" si="243"/>
        <v>#DIV/0!</v>
      </c>
      <c r="N155" s="347">
        <f t="shared" si="243"/>
        <v>20490981.240000002</v>
      </c>
      <c r="O155" s="347" t="e">
        <f t="shared" si="243"/>
        <v>#DIV/0!</v>
      </c>
      <c r="P155" s="347">
        <f t="shared" si="243"/>
        <v>348301638.25999999</v>
      </c>
      <c r="Q155" s="347">
        <f t="shared" si="243"/>
        <v>18.455493081557481</v>
      </c>
      <c r="R155" s="347">
        <f t="shared" si="243"/>
        <v>348297473.25999999</v>
      </c>
      <c r="S155" s="347">
        <f t="shared" si="243"/>
        <v>18.454320799700149</v>
      </c>
      <c r="T155" s="347">
        <f t="shared" si="243"/>
        <v>97838472.909999996</v>
      </c>
      <c r="U155" s="347">
        <f t="shared" si="243"/>
        <v>0</v>
      </c>
      <c r="V155" s="347">
        <f t="shared" si="243"/>
        <v>70919215.670000002</v>
      </c>
      <c r="W155" s="347">
        <f t="shared" si="243"/>
        <v>18452225.930000003</v>
      </c>
      <c r="X155" s="347">
        <f t="shared" si="243"/>
        <v>76627.909999999989</v>
      </c>
      <c r="Y155" s="347">
        <f t="shared" si="243"/>
        <v>168681060.67000002</v>
      </c>
      <c r="Z155" s="347">
        <f t="shared" si="243"/>
        <v>116290698.84</v>
      </c>
      <c r="AA155" s="347">
        <f t="shared" si="243"/>
        <v>10831832.390000001</v>
      </c>
      <c r="AB155" s="347">
        <f t="shared" si="243"/>
        <v>0.9392695807315502</v>
      </c>
      <c r="AC155" s="347">
        <f t="shared" si="243"/>
        <v>168757688.58000001</v>
      </c>
      <c r="AD155" s="347">
        <f t="shared" si="243"/>
        <v>11.802768958550898</v>
      </c>
      <c r="AE155" s="347">
        <f t="shared" si="243"/>
        <v>0.21505288535759318</v>
      </c>
      <c r="AF155" s="347">
        <f t="shared" si="243"/>
        <v>6353750.921699998</v>
      </c>
      <c r="AG155" s="347">
        <f t="shared" si="243"/>
        <v>0.54567777727483346</v>
      </c>
      <c r="AH155" s="347" t="e">
        <f t="shared" si="243"/>
        <v>#VALUE!</v>
      </c>
      <c r="AI155" s="347">
        <f t="shared" si="243"/>
        <v>414546897.75437999</v>
      </c>
      <c r="AJ155" s="237" t="s">
        <v>408</v>
      </c>
      <c r="AK155" s="347">
        <f>AK156+AK159+AK162+AK168+AK178</f>
        <v>38229775.370178491</v>
      </c>
      <c r="AL155" s="313">
        <f>AL156+AL159+AL162+AL168+AL178</f>
        <v>42416245</v>
      </c>
      <c r="AM155" s="306">
        <f>AL155/K155</f>
        <v>0.10969473637297725</v>
      </c>
      <c r="AN155" s="347"/>
      <c r="AO155" s="347">
        <f>AO156+AO159+AO162+AO168+AO178</f>
        <v>45505706</v>
      </c>
      <c r="AP155" s="313">
        <f>AP156+AP159+AP162+AP168+AP178</f>
        <v>53016245</v>
      </c>
      <c r="AQ155" s="313">
        <f>AQ156+AQ159+AQ162+AQ168+AQ178</f>
        <v>53016245</v>
      </c>
      <c r="AR155" s="306">
        <f t="shared" si="230"/>
        <v>0.1371079174679459</v>
      </c>
      <c r="AS155" s="347"/>
      <c r="AT155" s="347"/>
      <c r="AU155" s="380">
        <f>AU156+AU159+AU162+AU168+AU178</f>
        <v>1980119.823529413</v>
      </c>
      <c r="AV155" s="255"/>
      <c r="AW155" s="289"/>
      <c r="AX155" s="245"/>
      <c r="AY155" s="245"/>
    </row>
    <row r="156" spans="1:55" s="80" customFormat="1" ht="270.75" customHeight="1">
      <c r="A156" s="373" t="s">
        <v>81</v>
      </c>
      <c r="B156" s="64" t="s">
        <v>578</v>
      </c>
      <c r="C156" s="65" t="s">
        <v>56</v>
      </c>
      <c r="D156" s="65" t="s">
        <v>5</v>
      </c>
      <c r="E156" s="105"/>
      <c r="F156" s="90">
        <f>F157+F158</f>
        <v>61454399.016527995</v>
      </c>
      <c r="G156" s="90"/>
      <c r="H156" s="90">
        <f>H157+H158</f>
        <v>61454399.016527995</v>
      </c>
      <c r="I156" s="90"/>
      <c r="J156" s="347">
        <f>J157+J158</f>
        <v>61454399.016527995</v>
      </c>
      <c r="K156" s="173">
        <f t="shared" ref="K156:AL156" si="244">K157+K158</f>
        <v>71022217.352844</v>
      </c>
      <c r="L156" s="347">
        <f t="shared" si="244"/>
        <v>63535734.659999996</v>
      </c>
      <c r="M156" s="347">
        <f t="shared" si="244"/>
        <v>2.0349877515897798</v>
      </c>
      <c r="N156" s="347">
        <f t="shared" si="244"/>
        <v>2700775.7</v>
      </c>
      <c r="O156" s="347">
        <f t="shared" si="244"/>
        <v>4.5401589700191154E-2</v>
      </c>
      <c r="P156" s="347">
        <f t="shared" si="244"/>
        <v>57053354.960000001</v>
      </c>
      <c r="Q156" s="347">
        <f t="shared" si="244"/>
        <v>1.9260152280957894</v>
      </c>
      <c r="R156" s="347">
        <f t="shared" si="244"/>
        <v>57053354.960000001</v>
      </c>
      <c r="S156" s="347">
        <f t="shared" si="244"/>
        <v>1.9260152280957894</v>
      </c>
      <c r="T156" s="347">
        <f t="shared" si="244"/>
        <v>4670579.83</v>
      </c>
      <c r="U156" s="347">
        <f t="shared" si="244"/>
        <v>0</v>
      </c>
      <c r="V156" s="347">
        <f t="shared" si="244"/>
        <v>2141042.41</v>
      </c>
      <c r="W156" s="347">
        <f t="shared" si="244"/>
        <v>479012.27</v>
      </c>
      <c r="X156" s="347">
        <f t="shared" si="244"/>
        <v>0</v>
      </c>
      <c r="Y156" s="347">
        <f t="shared" si="244"/>
        <v>6811622.2400000002</v>
      </c>
      <c r="Z156" s="347">
        <f t="shared" si="244"/>
        <v>5149592.0999999996</v>
      </c>
      <c r="AA156" s="347">
        <f t="shared" si="244"/>
        <v>3781604</v>
      </c>
      <c r="AB156" s="347">
        <f t="shared" si="244"/>
        <v>6.3570933793799189E-2</v>
      </c>
      <c r="AC156" s="347">
        <f t="shared" si="244"/>
        <v>6811622.2400000002</v>
      </c>
      <c r="AD156" s="347">
        <f t="shared" si="244"/>
        <v>0.12885321630699167</v>
      </c>
      <c r="AE156" s="347">
        <f t="shared" si="244"/>
        <v>0.13094149463670821</v>
      </c>
      <c r="AF156" s="347">
        <f t="shared" si="244"/>
        <v>4401042.6415079981</v>
      </c>
      <c r="AG156" s="347">
        <f t="shared" si="244"/>
        <v>7.3984052901094888E-2</v>
      </c>
      <c r="AH156" s="347" t="e">
        <f t="shared" si="244"/>
        <v>#VALUE!</v>
      </c>
      <c r="AI156" s="347">
        <f t="shared" si="244"/>
        <v>71022217.352844</v>
      </c>
      <c r="AJ156" s="237" t="s">
        <v>408</v>
      </c>
      <c r="AK156" s="347">
        <f t="shared" si="244"/>
        <v>27009096.370178495</v>
      </c>
      <c r="AL156" s="313">
        <f t="shared" si="244"/>
        <v>31195566</v>
      </c>
      <c r="AM156" s="306">
        <f>AL156/K156</f>
        <v>0.43923672285558135</v>
      </c>
      <c r="AN156" s="347"/>
      <c r="AO156" s="347">
        <f t="shared" ref="AO156:AQ156" si="245">AO157+AO158</f>
        <v>34285027</v>
      </c>
      <c r="AP156" s="313">
        <f t="shared" si="245"/>
        <v>31195566</v>
      </c>
      <c r="AQ156" s="313">
        <f t="shared" si="245"/>
        <v>31195566</v>
      </c>
      <c r="AR156" s="306">
        <f t="shared" si="230"/>
        <v>0.43923672285558135</v>
      </c>
      <c r="AS156" s="347"/>
      <c r="AT156" s="347"/>
      <c r="AU156" s="380">
        <f>AU157+AU158</f>
        <v>0</v>
      </c>
      <c r="AV156" s="253"/>
      <c r="AW156" s="289"/>
      <c r="AX156" s="245"/>
      <c r="AY156" s="245"/>
    </row>
    <row r="157" spans="1:55" s="80" customFormat="1" ht="280.5" customHeight="1">
      <c r="A157" s="377" t="s">
        <v>233</v>
      </c>
      <c r="B157" s="345" t="s">
        <v>579</v>
      </c>
      <c r="C157" s="178" t="s">
        <v>56</v>
      </c>
      <c r="D157" s="178" t="s">
        <v>5</v>
      </c>
      <c r="E157" s="182">
        <v>84641477</v>
      </c>
      <c r="F157" s="182">
        <f>E157*$E$6</f>
        <v>59486368.601507999</v>
      </c>
      <c r="G157" s="182">
        <v>84641477</v>
      </c>
      <c r="H157" s="182">
        <f>G157*$G$6</f>
        <v>59486368.601507999</v>
      </c>
      <c r="I157" s="182">
        <v>84641477</v>
      </c>
      <c r="J157" s="349">
        <f>I157*$I$6</f>
        <v>59486368.601507999</v>
      </c>
      <c r="K157" s="349">
        <v>68706887.204771996</v>
      </c>
      <c r="L157" s="349">
        <v>61567705.659999996</v>
      </c>
      <c r="M157" s="179">
        <f t="shared" ref="M157:M216" si="246">L157/J157</f>
        <v>1.0349884705928953</v>
      </c>
      <c r="N157" s="349">
        <v>2700775.7</v>
      </c>
      <c r="O157" s="180">
        <f t="shared" si="216"/>
        <v>4.5401589700191154E-2</v>
      </c>
      <c r="P157" s="349">
        <v>55085325.960000001</v>
      </c>
      <c r="Q157" s="181">
        <f t="shared" si="233"/>
        <v>0.92601594709890511</v>
      </c>
      <c r="R157" s="349">
        <v>55085325.960000001</v>
      </c>
      <c r="S157" s="181">
        <f t="shared" si="235"/>
        <v>0.92601594709890511</v>
      </c>
      <c r="T157" s="182">
        <v>4641380.57</v>
      </c>
      <c r="U157" s="182"/>
      <c r="V157" s="182">
        <v>2141042.41</v>
      </c>
      <c r="W157" s="182">
        <v>479012.27</v>
      </c>
      <c r="X157" s="182">
        <v>0</v>
      </c>
      <c r="Y157" s="182">
        <f t="shared" ref="Y157:Y182" si="247">AC157-X157</f>
        <v>6782422.9800000004</v>
      </c>
      <c r="Z157" s="184">
        <f t="shared" ref="Z157:Z213" si="248">T157+U157+W157</f>
        <v>5120392.84</v>
      </c>
      <c r="AA157" s="184">
        <v>3781604</v>
      </c>
      <c r="AB157" s="196">
        <f t="shared" ref="AB157" si="249">AA157/J157</f>
        <v>6.3570933793799189E-2</v>
      </c>
      <c r="AC157" s="199">
        <f>SUM(T157:V157)</f>
        <v>6782422.9800000004</v>
      </c>
      <c r="AD157" s="181">
        <f t="shared" si="238"/>
        <v>0.11401642324873842</v>
      </c>
      <c r="AE157" s="179">
        <v>0.13094149463670821</v>
      </c>
      <c r="AF157" s="185">
        <f t="shared" si="229"/>
        <v>4401042.6415079981</v>
      </c>
      <c r="AG157" s="186">
        <f t="shared" si="210"/>
        <v>7.3984052901094888E-2</v>
      </c>
      <c r="AH157" s="187" t="s">
        <v>353</v>
      </c>
      <c r="AI157" s="349">
        <v>68706887.204771996</v>
      </c>
      <c r="AJ157" s="239" t="s">
        <v>408</v>
      </c>
      <c r="AK157" s="349">
        <f>(J157/K157)*AL157</f>
        <v>27009096.370178495</v>
      </c>
      <c r="AL157" s="349">
        <v>31195566</v>
      </c>
      <c r="AM157" s="207">
        <f t="shared" ref="AM157:AM216" si="250">AL157/K157</f>
        <v>0.45403841258337974</v>
      </c>
      <c r="AN157" s="179" t="s">
        <v>408</v>
      </c>
      <c r="AO157" s="349">
        <v>34285027</v>
      </c>
      <c r="AP157" s="349">
        <v>31195566</v>
      </c>
      <c r="AQ157" s="349">
        <v>31195566</v>
      </c>
      <c r="AR157" s="207">
        <f t="shared" si="230"/>
        <v>0.45403841258337974</v>
      </c>
      <c r="AS157" s="319" t="s">
        <v>433</v>
      </c>
      <c r="AT157" s="269" t="s">
        <v>721</v>
      </c>
      <c r="AU157" s="378"/>
      <c r="AV157" s="256"/>
      <c r="AW157" s="289"/>
    </row>
    <row r="158" spans="1:55" s="94" customFormat="1" ht="33.6" customHeight="1">
      <c r="A158" s="375" t="s">
        <v>82</v>
      </c>
      <c r="B158" s="69" t="s">
        <v>580</v>
      </c>
      <c r="C158" s="70" t="s">
        <v>56</v>
      </c>
      <c r="D158" s="70" t="s">
        <v>5</v>
      </c>
      <c r="E158" s="79">
        <v>2800255</v>
      </c>
      <c r="F158" s="79">
        <f>E158*$E$6</f>
        <v>1968030.41502</v>
      </c>
      <c r="G158" s="79">
        <v>2800255</v>
      </c>
      <c r="H158" s="79">
        <f>G158*$G$6</f>
        <v>1968030.41502</v>
      </c>
      <c r="I158" s="104">
        <v>2800255</v>
      </c>
      <c r="J158" s="348">
        <f>I158*$I$6</f>
        <v>1968030.41502</v>
      </c>
      <c r="K158" s="348">
        <v>2315330.1480720001</v>
      </c>
      <c r="L158" s="348">
        <v>1968029</v>
      </c>
      <c r="M158" s="125">
        <f t="shared" si="246"/>
        <v>0.9999992809968844</v>
      </c>
      <c r="N158" s="348"/>
      <c r="O158" s="127">
        <f t="shared" si="216"/>
        <v>0</v>
      </c>
      <c r="P158" s="348">
        <v>1968029</v>
      </c>
      <c r="Q158" s="73">
        <f t="shared" si="233"/>
        <v>0.9999992809968844</v>
      </c>
      <c r="R158" s="348">
        <v>1968029</v>
      </c>
      <c r="S158" s="73">
        <f t="shared" si="235"/>
        <v>0.9999992809968844</v>
      </c>
      <c r="T158" s="76">
        <v>29199.26</v>
      </c>
      <c r="U158" s="76"/>
      <c r="V158" s="76">
        <v>0</v>
      </c>
      <c r="W158" s="76">
        <v>0</v>
      </c>
      <c r="X158" s="76">
        <v>0</v>
      </c>
      <c r="Y158" s="76">
        <f t="shared" si="247"/>
        <v>29199.26</v>
      </c>
      <c r="Z158" s="110">
        <f t="shared" si="248"/>
        <v>29199.26</v>
      </c>
      <c r="AA158" s="110"/>
      <c r="AB158" s="134"/>
      <c r="AC158" s="111">
        <f>SUM(T158:V158)</f>
        <v>29199.26</v>
      </c>
      <c r="AD158" s="73">
        <f t="shared" si="238"/>
        <v>1.483679305825325E-2</v>
      </c>
      <c r="AE158" s="125">
        <v>0</v>
      </c>
      <c r="AF158" s="166">
        <v>0</v>
      </c>
      <c r="AG158" s="167">
        <f t="shared" si="210"/>
        <v>0</v>
      </c>
      <c r="AH158" s="144" t="s">
        <v>428</v>
      </c>
      <c r="AI158" s="348">
        <v>2315330.1480720001</v>
      </c>
      <c r="AJ158" s="238" t="s">
        <v>409</v>
      </c>
      <c r="AK158" s="348">
        <v>0</v>
      </c>
      <c r="AL158" s="348">
        <v>0</v>
      </c>
      <c r="AM158" s="92">
        <f t="shared" si="250"/>
        <v>0</v>
      </c>
      <c r="AN158" s="348"/>
      <c r="AO158" s="348">
        <f t="shared" ref="AO158:AO187" si="251">AL158</f>
        <v>0</v>
      </c>
      <c r="AP158" s="92"/>
      <c r="AQ158" s="92"/>
      <c r="AR158" s="92">
        <f t="shared" si="230"/>
        <v>0</v>
      </c>
      <c r="AS158" s="92"/>
      <c r="AT158" s="92"/>
      <c r="AU158" s="382"/>
      <c r="AV158" s="263"/>
      <c r="AW158" s="289"/>
    </row>
    <row r="159" spans="1:55" s="80" customFormat="1" ht="33">
      <c r="A159" s="373" t="s">
        <v>83</v>
      </c>
      <c r="B159" s="64" t="s">
        <v>581</v>
      </c>
      <c r="C159" s="65" t="s">
        <v>56</v>
      </c>
      <c r="D159" s="65" t="s">
        <v>5</v>
      </c>
      <c r="E159" s="105"/>
      <c r="F159" s="90">
        <f>F160+F161</f>
        <v>85374366.188316002</v>
      </c>
      <c r="G159" s="90"/>
      <c r="H159" s="90">
        <f>H160+H161</f>
        <v>85374366.188316002</v>
      </c>
      <c r="I159" s="90"/>
      <c r="J159" s="347">
        <f>J160+J161</f>
        <v>85374366.188316002</v>
      </c>
      <c r="K159" s="347">
        <f t="shared" ref="K159:AL159" si="252">K160+K161</f>
        <v>92718203.434872001</v>
      </c>
      <c r="L159" s="347">
        <f t="shared" si="252"/>
        <v>85498063</v>
      </c>
      <c r="M159" s="347" t="e">
        <f t="shared" si="252"/>
        <v>#DIV/0!</v>
      </c>
      <c r="N159" s="347">
        <f t="shared" si="252"/>
        <v>123698</v>
      </c>
      <c r="O159" s="347">
        <f t="shared" si="252"/>
        <v>1.4488892336506601E-3</v>
      </c>
      <c r="P159" s="347">
        <f t="shared" si="252"/>
        <v>85374365</v>
      </c>
      <c r="Q159" s="347">
        <f t="shared" si="252"/>
        <v>0.99999998608111484</v>
      </c>
      <c r="R159" s="347">
        <f t="shared" si="252"/>
        <v>85374365</v>
      </c>
      <c r="S159" s="347">
        <f t="shared" si="252"/>
        <v>0.99999998608111484</v>
      </c>
      <c r="T159" s="347">
        <f t="shared" si="252"/>
        <v>13073372.73</v>
      </c>
      <c r="U159" s="347">
        <f t="shared" si="252"/>
        <v>0</v>
      </c>
      <c r="V159" s="347">
        <f t="shared" si="252"/>
        <v>27174908.670000002</v>
      </c>
      <c r="W159" s="347">
        <f t="shared" si="252"/>
        <v>282690.31000000198</v>
      </c>
      <c r="X159" s="347">
        <f t="shared" si="252"/>
        <v>0</v>
      </c>
      <c r="Y159" s="347">
        <f t="shared" si="252"/>
        <v>40248281.400000006</v>
      </c>
      <c r="Z159" s="347">
        <f t="shared" si="252"/>
        <v>13356063.040000003</v>
      </c>
      <c r="AA159" s="347">
        <f t="shared" si="252"/>
        <v>0</v>
      </c>
      <c r="AB159" s="347">
        <f t="shared" si="252"/>
        <v>0</v>
      </c>
      <c r="AC159" s="347">
        <f t="shared" si="252"/>
        <v>40248281.400000006</v>
      </c>
      <c r="AD159" s="347">
        <f t="shared" si="252"/>
        <v>0.47143285738978907</v>
      </c>
      <c r="AE159" s="347">
        <f t="shared" si="252"/>
        <v>1.6564464889063462E-3</v>
      </c>
      <c r="AF159" s="347">
        <f t="shared" si="252"/>
        <v>0</v>
      </c>
      <c r="AG159" s="347">
        <f t="shared" si="252"/>
        <v>0</v>
      </c>
      <c r="AH159" s="347" t="e">
        <f t="shared" si="252"/>
        <v>#VALUE!</v>
      </c>
      <c r="AI159" s="347">
        <f t="shared" si="252"/>
        <v>100440431.057832</v>
      </c>
      <c r="AJ159" s="237" t="s">
        <v>409</v>
      </c>
      <c r="AK159" s="347">
        <f t="shared" si="252"/>
        <v>0</v>
      </c>
      <c r="AL159" s="347">
        <f t="shared" si="252"/>
        <v>0</v>
      </c>
      <c r="AM159" s="306">
        <f t="shared" si="250"/>
        <v>0</v>
      </c>
      <c r="AN159" s="347"/>
      <c r="AO159" s="173">
        <f t="shared" si="251"/>
        <v>0</v>
      </c>
      <c r="AP159" s="347">
        <f t="shared" ref="AP159:AQ159" si="253">AP160+AP161</f>
        <v>0</v>
      </c>
      <c r="AQ159" s="347">
        <f t="shared" si="253"/>
        <v>0</v>
      </c>
      <c r="AR159" s="306">
        <f t="shared" si="230"/>
        <v>0</v>
      </c>
      <c r="AS159" s="347"/>
      <c r="AT159" s="347"/>
      <c r="AU159" s="397"/>
      <c r="AV159" s="256"/>
      <c r="AW159" s="289"/>
    </row>
    <row r="160" spans="1:55" s="80" customFormat="1" ht="171.75" customHeight="1">
      <c r="A160" s="375" t="s">
        <v>84</v>
      </c>
      <c r="B160" s="69" t="s">
        <v>582</v>
      </c>
      <c r="C160" s="70" t="s">
        <v>56</v>
      </c>
      <c r="D160" s="70" t="s">
        <v>5</v>
      </c>
      <c r="E160" s="79">
        <v>121476779</v>
      </c>
      <c r="F160" s="79">
        <f>E160*$E$6</f>
        <v>85374366.188316002</v>
      </c>
      <c r="G160" s="79">
        <v>121476779</v>
      </c>
      <c r="H160" s="79">
        <f>G160*$G$6</f>
        <v>85374366.188316002</v>
      </c>
      <c r="I160" s="79">
        <v>121476779</v>
      </c>
      <c r="J160" s="348">
        <f>I160*$I$6</f>
        <v>85374366.188316002</v>
      </c>
      <c r="K160" s="348">
        <v>92718203.434872001</v>
      </c>
      <c r="L160" s="348">
        <v>85498063</v>
      </c>
      <c r="M160" s="125">
        <f t="shared" si="246"/>
        <v>1.0014488753147655</v>
      </c>
      <c r="N160" s="348">
        <v>123698</v>
      </c>
      <c r="O160" s="127">
        <f t="shared" si="216"/>
        <v>1.4488892336506601E-3</v>
      </c>
      <c r="P160" s="348">
        <v>85374365</v>
      </c>
      <c r="Q160" s="73">
        <f t="shared" si="233"/>
        <v>0.99999998608111484</v>
      </c>
      <c r="R160" s="348">
        <v>85374365</v>
      </c>
      <c r="S160" s="73">
        <f t="shared" si="235"/>
        <v>0.99999998608111484</v>
      </c>
      <c r="T160" s="76">
        <v>13073372.73</v>
      </c>
      <c r="U160" s="76"/>
      <c r="V160" s="76">
        <v>27174908.670000002</v>
      </c>
      <c r="W160" s="76">
        <v>282690.31000000198</v>
      </c>
      <c r="X160" s="76">
        <v>0</v>
      </c>
      <c r="Y160" s="76">
        <f t="shared" si="247"/>
        <v>40248281.400000006</v>
      </c>
      <c r="Z160" s="110">
        <f t="shared" si="248"/>
        <v>13356063.040000003</v>
      </c>
      <c r="AA160" s="110"/>
      <c r="AB160" s="134"/>
      <c r="AC160" s="111">
        <f>SUM(T160:V160)</f>
        <v>40248281.400000006</v>
      </c>
      <c r="AD160" s="73">
        <f t="shared" si="238"/>
        <v>0.47143285738978907</v>
      </c>
      <c r="AE160" s="125">
        <v>1.6564464889063462E-3</v>
      </c>
      <c r="AF160" s="166">
        <v>0</v>
      </c>
      <c r="AG160" s="167">
        <f t="shared" si="210"/>
        <v>0</v>
      </c>
      <c r="AH160" s="144" t="s">
        <v>354</v>
      </c>
      <c r="AI160" s="348">
        <v>100440431.057832</v>
      </c>
      <c r="AJ160" s="238" t="s">
        <v>409</v>
      </c>
      <c r="AK160" s="348">
        <v>0</v>
      </c>
      <c r="AL160" s="348">
        <v>0</v>
      </c>
      <c r="AM160" s="92">
        <f t="shared" si="250"/>
        <v>0</v>
      </c>
      <c r="AN160" s="348"/>
      <c r="AO160" s="348">
        <f t="shared" si="251"/>
        <v>0</v>
      </c>
      <c r="AP160" s="165"/>
      <c r="AQ160" s="165"/>
      <c r="AR160" s="92">
        <f t="shared" si="230"/>
        <v>0</v>
      </c>
      <c r="AS160" s="165"/>
      <c r="AT160" s="165"/>
      <c r="AU160" s="382"/>
      <c r="AV160" s="256"/>
      <c r="AW160" s="289"/>
    </row>
    <row r="161" spans="1:51" s="94" customFormat="1" ht="50.45" customHeight="1">
      <c r="A161" s="375" t="s">
        <v>85</v>
      </c>
      <c r="B161" s="69" t="s">
        <v>583</v>
      </c>
      <c r="C161" s="70" t="s">
        <v>56</v>
      </c>
      <c r="D161" s="70" t="s">
        <v>5</v>
      </c>
      <c r="E161" s="104">
        <v>0</v>
      </c>
      <c r="F161" s="79">
        <f>E161*$E$6</f>
        <v>0</v>
      </c>
      <c r="G161" s="79">
        <v>0</v>
      </c>
      <c r="H161" s="79">
        <f>G161*$G$6</f>
        <v>0</v>
      </c>
      <c r="I161" s="79">
        <v>0</v>
      </c>
      <c r="J161" s="348">
        <f>I161*$I$6</f>
        <v>0</v>
      </c>
      <c r="K161" s="348">
        <v>0</v>
      </c>
      <c r="L161" s="348"/>
      <c r="M161" s="125" t="e">
        <f t="shared" si="246"/>
        <v>#DIV/0!</v>
      </c>
      <c r="N161" s="348"/>
      <c r="O161" s="121"/>
      <c r="P161" s="348">
        <v>0</v>
      </c>
      <c r="Q161" s="73">
        <v>0</v>
      </c>
      <c r="R161" s="348">
        <v>0</v>
      </c>
      <c r="S161" s="73">
        <v>0</v>
      </c>
      <c r="T161" s="76">
        <v>0</v>
      </c>
      <c r="U161" s="76">
        <v>0</v>
      </c>
      <c r="V161" s="76">
        <v>0</v>
      </c>
      <c r="W161" s="76">
        <v>0</v>
      </c>
      <c r="X161" s="76">
        <v>0</v>
      </c>
      <c r="Y161" s="76">
        <f t="shared" si="247"/>
        <v>0</v>
      </c>
      <c r="Z161" s="110">
        <f t="shared" si="248"/>
        <v>0</v>
      </c>
      <c r="AA161" s="110"/>
      <c r="AB161" s="134"/>
      <c r="AC161" s="111">
        <f>SUM(T161:V161)</f>
        <v>0</v>
      </c>
      <c r="AD161" s="73">
        <v>0</v>
      </c>
      <c r="AE161" s="125"/>
      <c r="AF161" s="166">
        <f>J161-R161</f>
        <v>0</v>
      </c>
      <c r="AG161" s="167">
        <v>0</v>
      </c>
      <c r="AH161" s="144" t="s">
        <v>355</v>
      </c>
      <c r="AI161" s="348">
        <v>0</v>
      </c>
      <c r="AJ161" s="238" t="s">
        <v>409</v>
      </c>
      <c r="AK161" s="348">
        <v>0</v>
      </c>
      <c r="AL161" s="348">
        <v>0</v>
      </c>
      <c r="AM161" s="92" t="e">
        <f t="shared" si="250"/>
        <v>#DIV/0!</v>
      </c>
      <c r="AN161" s="348"/>
      <c r="AO161" s="348">
        <f t="shared" si="251"/>
        <v>0</v>
      </c>
      <c r="AP161" s="92"/>
      <c r="AQ161" s="92"/>
      <c r="AR161" s="92" t="e">
        <f t="shared" si="230"/>
        <v>#DIV/0!</v>
      </c>
      <c r="AS161" s="92"/>
      <c r="AT161" s="92"/>
      <c r="AU161" s="382"/>
      <c r="AV161" s="255"/>
      <c r="AW161" s="289"/>
    </row>
    <row r="162" spans="1:51" s="80" customFormat="1" ht="67.150000000000006" customHeight="1">
      <c r="A162" s="373" t="s">
        <v>86</v>
      </c>
      <c r="B162" s="64" t="s">
        <v>584</v>
      </c>
      <c r="C162" s="65" t="s">
        <v>56</v>
      </c>
      <c r="D162" s="65" t="s">
        <v>5</v>
      </c>
      <c r="E162" s="105"/>
      <c r="F162" s="90">
        <f>F163+F164+F165</f>
        <v>29189753.208707999</v>
      </c>
      <c r="G162" s="90"/>
      <c r="H162" s="90">
        <f>H163+H164+H165</f>
        <v>29189753.208707999</v>
      </c>
      <c r="I162" s="90"/>
      <c r="J162" s="347">
        <f>J163+J164+J165</f>
        <v>29189753.208707999</v>
      </c>
      <c r="K162" s="347">
        <f t="shared" ref="K162:AL162" si="254">K163+K164+K165</f>
        <v>29189753.208707999</v>
      </c>
      <c r="L162" s="347">
        <f t="shared" si="254"/>
        <v>30961983.029999997</v>
      </c>
      <c r="M162" s="347">
        <f t="shared" si="254"/>
        <v>4.7683818162035205</v>
      </c>
      <c r="N162" s="347">
        <f t="shared" si="254"/>
        <v>2064521.15</v>
      </c>
      <c r="O162" s="347">
        <f t="shared" si="254"/>
        <v>0.80212360190317444</v>
      </c>
      <c r="P162" s="347">
        <f t="shared" si="254"/>
        <v>28813828.879999999</v>
      </c>
      <c r="Q162" s="347">
        <f t="shared" si="254"/>
        <v>3.9365789726438587</v>
      </c>
      <c r="R162" s="347">
        <f t="shared" si="254"/>
        <v>28813828.879999999</v>
      </c>
      <c r="S162" s="347">
        <f t="shared" si="254"/>
        <v>3.9365789726438587</v>
      </c>
      <c r="T162" s="347">
        <f t="shared" si="254"/>
        <v>15649317.48</v>
      </c>
      <c r="U162" s="347">
        <f t="shared" si="254"/>
        <v>0</v>
      </c>
      <c r="V162" s="347">
        <f t="shared" si="254"/>
        <v>8230000.0800000001</v>
      </c>
      <c r="W162" s="347">
        <f t="shared" si="254"/>
        <v>5982509.6900000013</v>
      </c>
      <c r="X162" s="347">
        <f t="shared" si="254"/>
        <v>56200.229999999996</v>
      </c>
      <c r="Y162" s="347">
        <f t="shared" si="254"/>
        <v>23823117.330000002</v>
      </c>
      <c r="Z162" s="347">
        <f t="shared" si="254"/>
        <v>21631827.170000002</v>
      </c>
      <c r="AA162" s="347">
        <f t="shared" si="254"/>
        <v>83633</v>
      </c>
      <c r="AB162" s="347">
        <f t="shared" si="254"/>
        <v>2.9679241656488189E-2</v>
      </c>
      <c r="AC162" s="347">
        <f t="shared" si="254"/>
        <v>23879317.560000002</v>
      </c>
      <c r="AD162" s="347">
        <f t="shared" si="254"/>
        <v>2.812041938875149</v>
      </c>
      <c r="AE162" s="347">
        <f t="shared" si="254"/>
        <v>3.6581916625955904E-2</v>
      </c>
      <c r="AF162" s="347">
        <f t="shared" si="254"/>
        <v>375922.92397599947</v>
      </c>
      <c r="AG162" s="347">
        <f t="shared" si="254"/>
        <v>6.3420396452984779E-2</v>
      </c>
      <c r="AH162" s="347" t="e">
        <f t="shared" si="254"/>
        <v>#VALUE!</v>
      </c>
      <c r="AI162" s="347">
        <f t="shared" si="254"/>
        <v>32928118.787568003</v>
      </c>
      <c r="AJ162" s="237" t="s">
        <v>409</v>
      </c>
      <c r="AK162" s="347">
        <f t="shared" si="254"/>
        <v>0</v>
      </c>
      <c r="AL162" s="347">
        <f t="shared" si="254"/>
        <v>0</v>
      </c>
      <c r="AM162" s="92">
        <f t="shared" si="250"/>
        <v>0</v>
      </c>
      <c r="AN162" s="347"/>
      <c r="AO162" s="347">
        <f t="shared" si="251"/>
        <v>0</v>
      </c>
      <c r="AP162" s="347">
        <f t="shared" ref="AP162:AQ162" si="255">AP163+AP164+AP165</f>
        <v>0</v>
      </c>
      <c r="AQ162" s="347">
        <f t="shared" si="255"/>
        <v>0</v>
      </c>
      <c r="AR162" s="92">
        <f t="shared" si="230"/>
        <v>0</v>
      </c>
      <c r="AS162" s="93"/>
      <c r="AT162" s="93"/>
      <c r="AU162" s="380"/>
      <c r="AV162" s="256"/>
      <c r="AW162" s="289"/>
    </row>
    <row r="163" spans="1:51" s="80" customFormat="1" ht="69.75" customHeight="1">
      <c r="A163" s="375" t="s">
        <v>266</v>
      </c>
      <c r="B163" s="69" t="s">
        <v>585</v>
      </c>
      <c r="C163" s="70" t="s">
        <v>56</v>
      </c>
      <c r="D163" s="70" t="s">
        <v>5</v>
      </c>
      <c r="E163" s="104">
        <v>26132443</v>
      </c>
      <c r="F163" s="104">
        <f>E163*$E$6</f>
        <v>18365985.470171999</v>
      </c>
      <c r="G163" s="79">
        <v>26132443</v>
      </c>
      <c r="H163" s="79">
        <f>G163*$G$6</f>
        <v>18365985.470171999</v>
      </c>
      <c r="I163" s="104">
        <v>26132443</v>
      </c>
      <c r="J163" s="348">
        <f>I163*$I$6</f>
        <v>18365985.470171999</v>
      </c>
      <c r="K163" s="348">
        <v>18365985.470171999</v>
      </c>
      <c r="L163" s="348">
        <v>18352027.239999998</v>
      </c>
      <c r="M163" s="125">
        <f t="shared" si="246"/>
        <v>0.9992399955779846</v>
      </c>
      <c r="N163" s="348">
        <v>180239</v>
      </c>
      <c r="O163" s="127">
        <f t="shared" si="216"/>
        <v>9.813739659803403E-3</v>
      </c>
      <c r="P163" s="348">
        <v>18171788.239999998</v>
      </c>
      <c r="Q163" s="73">
        <f t="shared" ref="Q163:Q172" si="256">P163/J163</f>
        <v>0.98942625591818123</v>
      </c>
      <c r="R163" s="348">
        <v>18171788.239999998</v>
      </c>
      <c r="S163" s="73">
        <f t="shared" ref="S163:S172" si="257">R163/J163</f>
        <v>0.98942625591818123</v>
      </c>
      <c r="T163" s="76">
        <v>10070519.970000001</v>
      </c>
      <c r="U163" s="76"/>
      <c r="V163" s="76">
        <v>6213005.79</v>
      </c>
      <c r="W163" s="76">
        <v>4933144.84</v>
      </c>
      <c r="X163" s="76">
        <v>20799.47</v>
      </c>
      <c r="Y163" s="76">
        <f t="shared" si="247"/>
        <v>16262726.290000001</v>
      </c>
      <c r="Z163" s="110">
        <f t="shared" si="248"/>
        <v>15003664.810000001</v>
      </c>
      <c r="AA163" s="110"/>
      <c r="AB163" s="134"/>
      <c r="AC163" s="111">
        <f>SUM(T163:V163)</f>
        <v>16283525.760000002</v>
      </c>
      <c r="AD163" s="73">
        <f t="shared" ref="AD163:AD172" si="258">AC163/J163</f>
        <v>0.88661323327549735</v>
      </c>
      <c r="AE163" s="125">
        <v>1.0356108941139121E-2</v>
      </c>
      <c r="AF163" s="166">
        <f>J163-R163</f>
        <v>194197.23017200083</v>
      </c>
      <c r="AG163" s="167">
        <f t="shared" ref="AG163:AG172" si="259">AF163/J163</f>
        <v>1.0573744081818777E-2</v>
      </c>
      <c r="AH163" s="144" t="s">
        <v>410</v>
      </c>
      <c r="AI163" s="212">
        <v>21607075.050792001</v>
      </c>
      <c r="AJ163" s="238" t="s">
        <v>409</v>
      </c>
      <c r="AK163" s="348">
        <v>0</v>
      </c>
      <c r="AL163" s="348">
        <v>0</v>
      </c>
      <c r="AM163" s="92">
        <f t="shared" si="250"/>
        <v>0</v>
      </c>
      <c r="AN163" s="125"/>
      <c r="AO163" s="348">
        <f t="shared" si="251"/>
        <v>0</v>
      </c>
      <c r="AP163" s="165"/>
      <c r="AQ163" s="165"/>
      <c r="AR163" s="92">
        <f t="shared" si="230"/>
        <v>0</v>
      </c>
      <c r="AS163" s="165"/>
      <c r="AT163" s="165"/>
      <c r="AU163" s="382"/>
      <c r="AV163" s="256"/>
      <c r="AW163" s="289"/>
    </row>
    <row r="164" spans="1:51" s="94" customFormat="1" ht="56.25" customHeight="1">
      <c r="A164" s="375" t="s">
        <v>87</v>
      </c>
      <c r="B164" s="69" t="s">
        <v>586</v>
      </c>
      <c r="C164" s="70" t="s">
        <v>56</v>
      </c>
      <c r="D164" s="70" t="s">
        <v>5</v>
      </c>
      <c r="E164" s="104">
        <v>3168083</v>
      </c>
      <c r="F164" s="104">
        <f>E164*$E$6</f>
        <v>2226541.4047320001</v>
      </c>
      <c r="G164" s="104">
        <v>3168083</v>
      </c>
      <c r="H164" s="79">
        <f>G164*$G$6</f>
        <v>2226541.4047320001</v>
      </c>
      <c r="I164" s="104">
        <v>3168083</v>
      </c>
      <c r="J164" s="348">
        <f>I164*$I$6</f>
        <v>2226541.4047320001</v>
      </c>
      <c r="K164" s="348">
        <v>2226541.4047320001</v>
      </c>
      <c r="L164" s="348">
        <v>3860256.15</v>
      </c>
      <c r="M164" s="125">
        <f t="shared" si="246"/>
        <v>1.7337455040341563</v>
      </c>
      <c r="N164" s="348">
        <v>1633716.15</v>
      </c>
      <c r="O164" s="127">
        <f t="shared" si="216"/>
        <v>0.73374613493731267</v>
      </c>
      <c r="P164" s="348">
        <v>2226540</v>
      </c>
      <c r="Q164" s="73">
        <f t="shared" si="256"/>
        <v>0.99999936909684362</v>
      </c>
      <c r="R164" s="348">
        <v>2226540</v>
      </c>
      <c r="S164" s="73">
        <f t="shared" si="257"/>
        <v>0.99999936909684362</v>
      </c>
      <c r="T164" s="76">
        <v>8269</v>
      </c>
      <c r="U164" s="76"/>
      <c r="V164" s="76">
        <v>578549.68000000005</v>
      </c>
      <c r="W164" s="76">
        <v>0</v>
      </c>
      <c r="X164" s="76">
        <v>0</v>
      </c>
      <c r="Y164" s="76">
        <f t="shared" si="247"/>
        <v>586818.68000000005</v>
      </c>
      <c r="Z164" s="110">
        <f t="shared" si="248"/>
        <v>8269</v>
      </c>
      <c r="AA164" s="110"/>
      <c r="AB164" s="134"/>
      <c r="AC164" s="111">
        <f>SUM(T164:V164)</f>
        <v>586818.68000000005</v>
      </c>
      <c r="AD164" s="73">
        <f t="shared" si="258"/>
        <v>0.26355614979934905</v>
      </c>
      <c r="AE164" s="125">
        <v>0</v>
      </c>
      <c r="AF164" s="166">
        <v>0</v>
      </c>
      <c r="AG164" s="167">
        <f t="shared" si="259"/>
        <v>0</v>
      </c>
      <c r="AH164" s="144" t="s">
        <v>356</v>
      </c>
      <c r="AI164" s="212">
        <v>2226541.4047320001</v>
      </c>
      <c r="AJ164" s="238" t="s">
        <v>409</v>
      </c>
      <c r="AK164" s="348">
        <v>0</v>
      </c>
      <c r="AL164" s="348">
        <v>0</v>
      </c>
      <c r="AM164" s="92">
        <f t="shared" si="250"/>
        <v>0</v>
      </c>
      <c r="AN164" s="348"/>
      <c r="AO164" s="348">
        <f t="shared" si="251"/>
        <v>0</v>
      </c>
      <c r="AP164" s="92"/>
      <c r="AQ164" s="92"/>
      <c r="AR164" s="92">
        <f t="shared" si="230"/>
        <v>0</v>
      </c>
      <c r="AS164" s="92"/>
      <c r="AT164" s="92"/>
      <c r="AU164" s="382"/>
      <c r="AV164" s="256"/>
      <c r="AW164" s="289"/>
    </row>
    <row r="165" spans="1:51" s="80" customFormat="1" ht="100.5" customHeight="1">
      <c r="A165" s="381" t="s">
        <v>88</v>
      </c>
      <c r="B165" s="74" t="s">
        <v>587</v>
      </c>
      <c r="C165" s="75" t="s">
        <v>56</v>
      </c>
      <c r="D165" s="75" t="s">
        <v>5</v>
      </c>
      <c r="E165" s="106"/>
      <c r="F165" s="104">
        <f>F166+F167</f>
        <v>8597226.3338040002</v>
      </c>
      <c r="G165" s="91"/>
      <c r="H165" s="91">
        <f>H166+H167</f>
        <v>8597226.3338040002</v>
      </c>
      <c r="I165" s="91"/>
      <c r="J165" s="348">
        <f>J166+J167</f>
        <v>8597226.3338040002</v>
      </c>
      <c r="K165" s="348">
        <f t="shared" ref="K165:AL165" si="260">K166+K167</f>
        <v>8597226.3338040002</v>
      </c>
      <c r="L165" s="348">
        <f t="shared" si="260"/>
        <v>8749699.6400000006</v>
      </c>
      <c r="M165" s="348">
        <f t="shared" si="260"/>
        <v>2.0353963165913802</v>
      </c>
      <c r="N165" s="348">
        <f t="shared" si="260"/>
        <v>250566</v>
      </c>
      <c r="O165" s="348">
        <f t="shared" si="260"/>
        <v>5.8563727306058404E-2</v>
      </c>
      <c r="P165" s="348">
        <f t="shared" si="260"/>
        <v>8415500.6400000006</v>
      </c>
      <c r="Q165" s="348">
        <f t="shared" si="260"/>
        <v>1.9471533476288339</v>
      </c>
      <c r="R165" s="348">
        <f t="shared" si="260"/>
        <v>8415500.6400000006</v>
      </c>
      <c r="S165" s="348">
        <f t="shared" si="260"/>
        <v>1.9471533476288339</v>
      </c>
      <c r="T165" s="348">
        <f t="shared" si="260"/>
        <v>5570528.5099999998</v>
      </c>
      <c r="U165" s="348">
        <f t="shared" si="260"/>
        <v>0</v>
      </c>
      <c r="V165" s="348">
        <f t="shared" si="260"/>
        <v>1438444.6099999999</v>
      </c>
      <c r="W165" s="348">
        <f t="shared" si="260"/>
        <v>1049364.850000001</v>
      </c>
      <c r="X165" s="348">
        <f t="shared" si="260"/>
        <v>35400.759999999995</v>
      </c>
      <c r="Y165" s="348">
        <f t="shared" si="260"/>
        <v>6973572.3600000003</v>
      </c>
      <c r="Z165" s="348">
        <f t="shared" si="260"/>
        <v>6619893.3600000013</v>
      </c>
      <c r="AA165" s="348">
        <f t="shared" si="260"/>
        <v>83633</v>
      </c>
      <c r="AB165" s="348">
        <f t="shared" si="260"/>
        <v>2.9679241656488189E-2</v>
      </c>
      <c r="AC165" s="348">
        <f t="shared" si="260"/>
        <v>7008973.1200000001</v>
      </c>
      <c r="AD165" s="348">
        <f t="shared" si="260"/>
        <v>1.6618725558003022</v>
      </c>
      <c r="AE165" s="348">
        <f t="shared" si="260"/>
        <v>2.6225807684816783E-2</v>
      </c>
      <c r="AF165" s="348">
        <f t="shared" si="260"/>
        <v>181725.69380399864</v>
      </c>
      <c r="AG165" s="348">
        <f t="shared" si="260"/>
        <v>5.2846652371165995E-2</v>
      </c>
      <c r="AH165" s="348" t="e">
        <f t="shared" si="260"/>
        <v>#VALUE!</v>
      </c>
      <c r="AI165" s="348">
        <f t="shared" si="260"/>
        <v>9094502.3320439998</v>
      </c>
      <c r="AJ165" s="238" t="s">
        <v>409</v>
      </c>
      <c r="AK165" s="348">
        <f t="shared" si="260"/>
        <v>0</v>
      </c>
      <c r="AL165" s="348">
        <f t="shared" si="260"/>
        <v>0</v>
      </c>
      <c r="AM165" s="92">
        <f t="shared" si="250"/>
        <v>0</v>
      </c>
      <c r="AN165" s="348"/>
      <c r="AO165" s="348">
        <f t="shared" si="251"/>
        <v>0</v>
      </c>
      <c r="AP165" s="92"/>
      <c r="AQ165" s="92"/>
      <c r="AR165" s="92">
        <f t="shared" si="230"/>
        <v>0</v>
      </c>
      <c r="AS165" s="92"/>
      <c r="AT165" s="92"/>
      <c r="AU165" s="382"/>
      <c r="AV165" s="256"/>
      <c r="AW165" s="289"/>
    </row>
    <row r="166" spans="1:51" s="80" customFormat="1" ht="72.75" customHeight="1">
      <c r="A166" s="375" t="s">
        <v>264</v>
      </c>
      <c r="B166" s="69" t="s">
        <v>588</v>
      </c>
      <c r="C166" s="70" t="s">
        <v>56</v>
      </c>
      <c r="D166" s="70" t="s">
        <v>5</v>
      </c>
      <c r="E166" s="104">
        <v>8223247</v>
      </c>
      <c r="F166" s="104">
        <f>E166*$E$6</f>
        <v>5779330.8845879994</v>
      </c>
      <c r="G166" s="79">
        <v>8223247</v>
      </c>
      <c r="H166" s="79">
        <f>G166*$G$6</f>
        <v>5779330.8845879994</v>
      </c>
      <c r="I166" s="104">
        <v>8223247</v>
      </c>
      <c r="J166" s="348">
        <f>I166*$I$6</f>
        <v>5779330.8845879994</v>
      </c>
      <c r="K166" s="348">
        <v>5779330.8845879994</v>
      </c>
      <c r="L166" s="348">
        <v>5882235.4400000004</v>
      </c>
      <c r="M166" s="125">
        <f t="shared" si="246"/>
        <v>1.0178056175475989</v>
      </c>
      <c r="N166" s="348">
        <v>166933</v>
      </c>
      <c r="O166" s="127">
        <f t="shared" si="216"/>
        <v>2.8884485649570215E-2</v>
      </c>
      <c r="P166" s="348">
        <v>5715302.4400000004</v>
      </c>
      <c r="Q166" s="73">
        <f t="shared" si="256"/>
        <v>0.98892113189802877</v>
      </c>
      <c r="R166" s="348">
        <v>5715302.4400000004</v>
      </c>
      <c r="S166" s="73">
        <f t="shared" si="257"/>
        <v>0.98892113189802877</v>
      </c>
      <c r="T166" s="76">
        <v>3525475.3000000003</v>
      </c>
      <c r="U166" s="76"/>
      <c r="V166" s="76">
        <v>1013764.6</v>
      </c>
      <c r="W166" s="76">
        <v>678068.71</v>
      </c>
      <c r="X166" s="76">
        <v>2088.81</v>
      </c>
      <c r="Y166" s="76">
        <f t="shared" si="247"/>
        <v>4537151.0900000008</v>
      </c>
      <c r="Z166" s="110">
        <f t="shared" ref="Z166:Z180" si="261">T166+U166+W166</f>
        <v>4203544.01</v>
      </c>
      <c r="AA166" s="110"/>
      <c r="AB166" s="134"/>
      <c r="AC166" s="111">
        <f>SUM(T166:V166)</f>
        <v>4539239.9000000004</v>
      </c>
      <c r="AD166" s="73">
        <f t="shared" si="258"/>
        <v>0.78542654688711366</v>
      </c>
      <c r="AE166" s="125">
        <v>1.5736375058729886E-2</v>
      </c>
      <c r="AF166" s="166">
        <f t="shared" ref="AF166:AF181" si="262">J166-R166</f>
        <v>64028.444587999023</v>
      </c>
      <c r="AG166" s="167">
        <f t="shared" si="259"/>
        <v>1.1078868101971206E-2</v>
      </c>
      <c r="AH166" s="144" t="s">
        <v>411</v>
      </c>
      <c r="AI166" s="212">
        <v>5779330.8845879994</v>
      </c>
      <c r="AJ166" s="238" t="s">
        <v>409</v>
      </c>
      <c r="AK166" s="348">
        <v>0</v>
      </c>
      <c r="AL166" s="348">
        <v>0</v>
      </c>
      <c r="AM166" s="92">
        <f t="shared" si="250"/>
        <v>0</v>
      </c>
      <c r="AN166" s="125"/>
      <c r="AO166" s="348">
        <f t="shared" si="251"/>
        <v>0</v>
      </c>
      <c r="AP166" s="165"/>
      <c r="AQ166" s="165"/>
      <c r="AR166" s="92">
        <f t="shared" si="230"/>
        <v>0</v>
      </c>
      <c r="AS166" s="165"/>
      <c r="AT166" s="165"/>
      <c r="AU166" s="382"/>
      <c r="AV166" s="256"/>
      <c r="AW166" s="289"/>
    </row>
    <row r="167" spans="1:51" s="94" customFormat="1" ht="103.5" customHeight="1">
      <c r="A167" s="375" t="s">
        <v>247</v>
      </c>
      <c r="B167" s="69" t="s">
        <v>589</v>
      </c>
      <c r="C167" s="70" t="s">
        <v>56</v>
      </c>
      <c r="D167" s="70" t="s">
        <v>5</v>
      </c>
      <c r="E167" s="104">
        <v>4009504</v>
      </c>
      <c r="F167" s="104">
        <f>E167*$E$6</f>
        <v>2817895.4492159998</v>
      </c>
      <c r="G167" s="104">
        <v>4009504</v>
      </c>
      <c r="H167" s="79">
        <f>G167*$G$6</f>
        <v>2817895.4492159998</v>
      </c>
      <c r="I167" s="104">
        <v>4009504</v>
      </c>
      <c r="J167" s="348">
        <f>I167*$I$6</f>
        <v>2817895.4492159998</v>
      </c>
      <c r="K167" s="348">
        <v>2817895.4492159998</v>
      </c>
      <c r="L167" s="348">
        <v>2867464.2</v>
      </c>
      <c r="M167" s="125">
        <f t="shared" si="246"/>
        <v>1.0175906990437815</v>
      </c>
      <c r="N167" s="348">
        <v>83633</v>
      </c>
      <c r="O167" s="127">
        <f t="shared" si="216"/>
        <v>2.9679241656488189E-2</v>
      </c>
      <c r="P167" s="348">
        <v>2700198.2</v>
      </c>
      <c r="Q167" s="73">
        <f t="shared" si="256"/>
        <v>0.95823221573080519</v>
      </c>
      <c r="R167" s="348">
        <v>2700198.2</v>
      </c>
      <c r="S167" s="73">
        <f t="shared" si="257"/>
        <v>0.95823221573080519</v>
      </c>
      <c r="T167" s="76">
        <v>2045053.21</v>
      </c>
      <c r="U167" s="76"/>
      <c r="V167" s="76">
        <v>424680.01</v>
      </c>
      <c r="W167" s="76">
        <v>371296.140000001</v>
      </c>
      <c r="X167" s="76">
        <v>33311.949999999997</v>
      </c>
      <c r="Y167" s="76">
        <f t="shared" si="247"/>
        <v>2436421.2699999996</v>
      </c>
      <c r="Z167" s="110">
        <f t="shared" si="261"/>
        <v>2416349.350000001</v>
      </c>
      <c r="AA167" s="110">
        <v>83633</v>
      </c>
      <c r="AB167" s="131">
        <f>AA167/J167</f>
        <v>2.9679241656488189E-2</v>
      </c>
      <c r="AC167" s="111">
        <f>SUM(T167:V167)</f>
        <v>2469733.2199999997</v>
      </c>
      <c r="AD167" s="73">
        <f t="shared" si="258"/>
        <v>0.87644600891318858</v>
      </c>
      <c r="AE167" s="125">
        <v>1.0489432626086896E-2</v>
      </c>
      <c r="AF167" s="166">
        <f t="shared" si="262"/>
        <v>117697.24921599962</v>
      </c>
      <c r="AG167" s="167">
        <f t="shared" si="259"/>
        <v>4.1767784269194787E-2</v>
      </c>
      <c r="AH167" s="144" t="s">
        <v>412</v>
      </c>
      <c r="AI167" s="212">
        <v>3315171.4474559999</v>
      </c>
      <c r="AJ167" s="238" t="s">
        <v>409</v>
      </c>
      <c r="AK167" s="348">
        <v>0</v>
      </c>
      <c r="AL167" s="348">
        <v>0</v>
      </c>
      <c r="AM167" s="92">
        <f t="shared" si="250"/>
        <v>0</v>
      </c>
      <c r="AN167" s="125"/>
      <c r="AO167" s="348">
        <f t="shared" si="251"/>
        <v>0</v>
      </c>
      <c r="AP167" s="165"/>
      <c r="AQ167" s="165"/>
      <c r="AR167" s="92">
        <f t="shared" si="230"/>
        <v>0</v>
      </c>
      <c r="AS167" s="165"/>
      <c r="AT167" s="165"/>
      <c r="AU167" s="382"/>
      <c r="AV167" s="255"/>
      <c r="AW167" s="289"/>
      <c r="AX167" s="245"/>
      <c r="AY167" s="245"/>
    </row>
    <row r="168" spans="1:51" s="94" customFormat="1" ht="49.5">
      <c r="A168" s="373" t="s">
        <v>89</v>
      </c>
      <c r="B168" s="64" t="s">
        <v>590</v>
      </c>
      <c r="C168" s="65" t="s">
        <v>56</v>
      </c>
      <c r="D168" s="65" t="s">
        <v>1</v>
      </c>
      <c r="E168" s="105"/>
      <c r="F168" s="90">
        <f>F169+F175+F176+F177</f>
        <v>33116083.014564004</v>
      </c>
      <c r="G168" s="90"/>
      <c r="H168" s="90">
        <f>H169+H175+H176+H177</f>
        <v>33116083.014564004</v>
      </c>
      <c r="I168" s="90"/>
      <c r="J168" s="347">
        <f>J169+J175+J176+J177</f>
        <v>33116083.014564004</v>
      </c>
      <c r="K168" s="347">
        <f t="shared" ref="K168:AL168" si="263">K169+K175+K176+K177</f>
        <v>34919264.426147997</v>
      </c>
      <c r="L168" s="347">
        <f t="shared" si="263"/>
        <v>39164849.219999999</v>
      </c>
      <c r="M168" s="347" t="e">
        <f t="shared" si="263"/>
        <v>#DIV/0!</v>
      </c>
      <c r="N168" s="347">
        <f t="shared" si="263"/>
        <v>5991263.9699999997</v>
      </c>
      <c r="O168" s="347" t="e">
        <f t="shared" si="263"/>
        <v>#DIV/0!</v>
      </c>
      <c r="P168" s="347">
        <f t="shared" si="263"/>
        <v>32992575.57</v>
      </c>
      <c r="Q168" s="347">
        <f t="shared" si="263"/>
        <v>6.9571208435876164</v>
      </c>
      <c r="R168" s="347">
        <f t="shared" si="263"/>
        <v>32992575.57</v>
      </c>
      <c r="S168" s="347">
        <f t="shared" si="263"/>
        <v>6.9571208435876164</v>
      </c>
      <c r="T168" s="347">
        <f t="shared" si="263"/>
        <v>24751801.620000001</v>
      </c>
      <c r="U168" s="347">
        <f t="shared" si="263"/>
        <v>0</v>
      </c>
      <c r="V168" s="347">
        <f t="shared" si="263"/>
        <v>4306935.58</v>
      </c>
      <c r="W168" s="347">
        <f t="shared" si="263"/>
        <v>3706960.9399999902</v>
      </c>
      <c r="X168" s="347">
        <f t="shared" si="263"/>
        <v>19432.28</v>
      </c>
      <c r="Y168" s="347">
        <f t="shared" si="263"/>
        <v>29039304.920000002</v>
      </c>
      <c r="Z168" s="347">
        <f t="shared" si="263"/>
        <v>28458762.559999991</v>
      </c>
      <c r="AA168" s="347">
        <f t="shared" si="263"/>
        <v>181061</v>
      </c>
      <c r="AB168" s="347">
        <f t="shared" si="263"/>
        <v>9.5603222603743293E-2</v>
      </c>
      <c r="AC168" s="347">
        <f t="shared" si="263"/>
        <v>29058737.199999999</v>
      </c>
      <c r="AD168" s="347">
        <f t="shared" si="263"/>
        <v>5.832668846420348</v>
      </c>
      <c r="AE168" s="347">
        <f t="shared" si="263"/>
        <v>4.126317772120551E-2</v>
      </c>
      <c r="AF168" s="347">
        <f t="shared" si="263"/>
        <v>123507.44456399989</v>
      </c>
      <c r="AG168" s="347">
        <f t="shared" si="263"/>
        <v>4.2879156412383039E-2</v>
      </c>
      <c r="AH168" s="347" t="e">
        <f t="shared" si="263"/>
        <v>#VALUE!</v>
      </c>
      <c r="AI168" s="347">
        <f t="shared" si="263"/>
        <v>38960098.573703997</v>
      </c>
      <c r="AJ168" s="237" t="s">
        <v>408</v>
      </c>
      <c r="AK168" s="173">
        <f t="shared" si="263"/>
        <v>11220679</v>
      </c>
      <c r="AL168" s="173">
        <f t="shared" si="263"/>
        <v>11220679</v>
      </c>
      <c r="AM168" s="306">
        <f t="shared" si="250"/>
        <v>0.32133205508183071</v>
      </c>
      <c r="AN168" s="348"/>
      <c r="AO168" s="347">
        <f t="shared" si="251"/>
        <v>11220679</v>
      </c>
      <c r="AP168" s="173">
        <f t="shared" ref="AP168:AQ168" si="264">AP169+AP175+AP176+AP177</f>
        <v>11220679</v>
      </c>
      <c r="AQ168" s="173">
        <f t="shared" si="264"/>
        <v>11220679</v>
      </c>
      <c r="AR168" s="306">
        <f t="shared" si="230"/>
        <v>0.32133205508183071</v>
      </c>
      <c r="AS168" s="92"/>
      <c r="AT168" s="92"/>
      <c r="AU168" s="380">
        <f>AU169+AU175+AU176+AU177</f>
        <v>1980119.823529413</v>
      </c>
      <c r="AV168" s="256"/>
      <c r="AW168" s="289"/>
    </row>
    <row r="169" spans="1:51" s="80" customFormat="1" ht="82.5">
      <c r="A169" s="381" t="s">
        <v>90</v>
      </c>
      <c r="B169" s="74" t="s">
        <v>591</v>
      </c>
      <c r="C169" s="75" t="s">
        <v>56</v>
      </c>
      <c r="D169" s="75" t="s">
        <v>156</v>
      </c>
      <c r="E169" s="106"/>
      <c r="F169" s="91">
        <f>F170+F171+F172+F173+F174</f>
        <v>8129950.9299120009</v>
      </c>
      <c r="G169" s="91"/>
      <c r="H169" s="91">
        <f>H170+H171+H172+H173+H174</f>
        <v>8129950.9299120009</v>
      </c>
      <c r="I169" s="91"/>
      <c r="J169" s="348">
        <f>J170+J171+J172+J173+J174</f>
        <v>8129950.9299120009</v>
      </c>
      <c r="K169" s="348">
        <f t="shared" ref="K169:AL169" si="265">K170+K171+K172+K173+K174</f>
        <v>9564647.2846679986</v>
      </c>
      <c r="L169" s="348">
        <f t="shared" si="265"/>
        <v>8575948.2300000004</v>
      </c>
      <c r="M169" s="348" t="e">
        <f t="shared" si="265"/>
        <v>#DIV/0!</v>
      </c>
      <c r="N169" s="348">
        <f t="shared" si="265"/>
        <v>447270</v>
      </c>
      <c r="O169" s="348" t="e">
        <f t="shared" si="265"/>
        <v>#DIV/0!</v>
      </c>
      <c r="P169" s="348">
        <f t="shared" si="265"/>
        <v>8128678.2300000004</v>
      </c>
      <c r="Q169" s="348">
        <f t="shared" si="265"/>
        <v>3.9997379801730197</v>
      </c>
      <c r="R169" s="348">
        <f t="shared" si="265"/>
        <v>8128678.2300000004</v>
      </c>
      <c r="S169" s="348">
        <f t="shared" si="265"/>
        <v>3.9997379801730197</v>
      </c>
      <c r="T169" s="348">
        <f t="shared" si="265"/>
        <v>5430849.8800000008</v>
      </c>
      <c r="U169" s="348">
        <f t="shared" si="265"/>
        <v>0</v>
      </c>
      <c r="V169" s="348">
        <f t="shared" si="265"/>
        <v>103842.97</v>
      </c>
      <c r="W169" s="348">
        <f t="shared" si="265"/>
        <v>103842.97</v>
      </c>
      <c r="X169" s="348">
        <f t="shared" si="265"/>
        <v>0</v>
      </c>
      <c r="Y169" s="348">
        <f t="shared" si="265"/>
        <v>5534692.8499999996</v>
      </c>
      <c r="Z169" s="348">
        <f t="shared" si="265"/>
        <v>5534692.8499999996</v>
      </c>
      <c r="AA169" s="348">
        <f t="shared" si="265"/>
        <v>0</v>
      </c>
      <c r="AB169" s="348">
        <f t="shared" si="265"/>
        <v>0</v>
      </c>
      <c r="AC169" s="348">
        <f t="shared" si="265"/>
        <v>5534692.8499999996</v>
      </c>
      <c r="AD169" s="348">
        <f t="shared" si="265"/>
        <v>2.9872549015182539</v>
      </c>
      <c r="AE169" s="348">
        <f t="shared" si="265"/>
        <v>5.8375899273650968E-3</v>
      </c>
      <c r="AF169" s="348">
        <f t="shared" si="265"/>
        <v>1272.6999119996326</v>
      </c>
      <c r="AG169" s="348">
        <f t="shared" si="265"/>
        <v>2.620198269801745E-4</v>
      </c>
      <c r="AH169" s="348" t="e">
        <f t="shared" si="265"/>
        <v>#VALUE!</v>
      </c>
      <c r="AI169" s="348">
        <f t="shared" si="265"/>
        <v>9564647.2846679986</v>
      </c>
      <c r="AJ169" s="238" t="s">
        <v>409</v>
      </c>
      <c r="AK169" s="348">
        <f t="shared" si="265"/>
        <v>0</v>
      </c>
      <c r="AL169" s="348">
        <f t="shared" si="265"/>
        <v>0</v>
      </c>
      <c r="AM169" s="92">
        <f t="shared" si="250"/>
        <v>0</v>
      </c>
      <c r="AN169" s="348"/>
      <c r="AO169" s="348">
        <f t="shared" si="251"/>
        <v>0</v>
      </c>
      <c r="AP169" s="348">
        <f t="shared" ref="AP169:AQ169" si="266">AP170+AP171+AP172+AP173+AP174</f>
        <v>0</v>
      </c>
      <c r="AQ169" s="348">
        <f t="shared" si="266"/>
        <v>0</v>
      </c>
      <c r="AR169" s="92">
        <f t="shared" si="230"/>
        <v>0</v>
      </c>
      <c r="AS169" s="92"/>
      <c r="AT169" s="92"/>
      <c r="AU169" s="382"/>
      <c r="AV169" s="256"/>
      <c r="AW169" s="289"/>
    </row>
    <row r="170" spans="1:51" s="80" customFormat="1" ht="99">
      <c r="A170" s="375" t="s">
        <v>91</v>
      </c>
      <c r="B170" s="69" t="s">
        <v>592</v>
      </c>
      <c r="C170" s="70" t="s">
        <v>56</v>
      </c>
      <c r="D170" s="70" t="s">
        <v>156</v>
      </c>
      <c r="E170" s="104">
        <v>636408</v>
      </c>
      <c r="F170" s="91">
        <f>E170*$E$6</f>
        <v>447270.088032</v>
      </c>
      <c r="G170" s="79">
        <v>636408</v>
      </c>
      <c r="H170" s="79">
        <f>G170*$G$6</f>
        <v>447270.088032</v>
      </c>
      <c r="I170" s="79">
        <v>636408</v>
      </c>
      <c r="J170" s="348">
        <f>I170*$I$6</f>
        <v>447270.088032</v>
      </c>
      <c r="K170" s="348">
        <v>526200.59966399998</v>
      </c>
      <c r="L170" s="348">
        <v>894540</v>
      </c>
      <c r="M170" s="125">
        <f t="shared" si="246"/>
        <v>1.9999996063586529</v>
      </c>
      <c r="N170" s="348">
        <v>447270</v>
      </c>
      <c r="O170" s="127">
        <f t="shared" si="216"/>
        <v>0.99999980317932646</v>
      </c>
      <c r="P170" s="348">
        <v>447270</v>
      </c>
      <c r="Q170" s="73">
        <f t="shared" si="256"/>
        <v>0.99999980317932646</v>
      </c>
      <c r="R170" s="348">
        <v>447270</v>
      </c>
      <c r="S170" s="73">
        <f t="shared" si="257"/>
        <v>0.99999980317932646</v>
      </c>
      <c r="T170" s="76">
        <v>203988.95</v>
      </c>
      <c r="U170" s="76"/>
      <c r="V170" s="76"/>
      <c r="W170" s="76">
        <v>0</v>
      </c>
      <c r="X170" s="76">
        <v>0</v>
      </c>
      <c r="Y170" s="76">
        <f t="shared" si="247"/>
        <v>203988.95</v>
      </c>
      <c r="Z170" s="110">
        <f t="shared" si="261"/>
        <v>203988.95</v>
      </c>
      <c r="AA170" s="110"/>
      <c r="AB170" s="134"/>
      <c r="AC170" s="111">
        <f t="shared" ref="AC170:AC176" si="267">SUM(T170:V170)</f>
        <v>203988.95</v>
      </c>
      <c r="AD170" s="73">
        <f t="shared" si="258"/>
        <v>0.45607554687494684</v>
      </c>
      <c r="AE170" s="125">
        <v>0</v>
      </c>
      <c r="AF170" s="166">
        <f t="shared" si="262"/>
        <v>8.8031999999657273E-2</v>
      </c>
      <c r="AG170" s="167">
        <f t="shared" si="259"/>
        <v>1.9682067358226516E-7</v>
      </c>
      <c r="AH170" s="150" t="s">
        <v>359</v>
      </c>
      <c r="AI170" s="223">
        <v>526200.59966399998</v>
      </c>
      <c r="AJ170" s="238" t="s">
        <v>409</v>
      </c>
      <c r="AK170" s="348">
        <v>0</v>
      </c>
      <c r="AL170" s="348">
        <v>0</v>
      </c>
      <c r="AM170" s="92">
        <f t="shared" si="250"/>
        <v>0</v>
      </c>
      <c r="AN170" s="348"/>
      <c r="AO170" s="348">
        <f t="shared" si="251"/>
        <v>0</v>
      </c>
      <c r="AP170" s="92"/>
      <c r="AQ170" s="92"/>
      <c r="AR170" s="92">
        <f t="shared" si="230"/>
        <v>0</v>
      </c>
      <c r="AS170" s="92"/>
      <c r="AT170" s="92"/>
      <c r="AU170" s="382"/>
      <c r="AV170" s="256"/>
      <c r="AW170" s="289"/>
    </row>
    <row r="171" spans="1:51" s="80" customFormat="1" ht="72.75" customHeight="1">
      <c r="A171" s="375" t="s">
        <v>92</v>
      </c>
      <c r="B171" s="69" t="s">
        <v>593</v>
      </c>
      <c r="C171" s="70" t="s">
        <v>56</v>
      </c>
      <c r="D171" s="70" t="s">
        <v>156</v>
      </c>
      <c r="E171" s="104">
        <v>3054313</v>
      </c>
      <c r="F171" s="91">
        <f t="shared" ref="F171:F177" si="268">E171*$E$6</f>
        <v>2146583.393652</v>
      </c>
      <c r="G171" s="79">
        <v>3054313</v>
      </c>
      <c r="H171" s="79">
        <f t="shared" ref="H171:H177" si="269">G171*$G$6</f>
        <v>2146583.393652</v>
      </c>
      <c r="I171" s="79">
        <v>3054313</v>
      </c>
      <c r="J171" s="348">
        <f t="shared" ref="J171:J177" si="270">I171*$I$6</f>
        <v>2146583.393652</v>
      </c>
      <c r="K171" s="348">
        <v>2525392.6412399998</v>
      </c>
      <c r="L171" s="348">
        <v>2146582.14</v>
      </c>
      <c r="M171" s="125">
        <f t="shared" si="246"/>
        <v>0.99999941597796593</v>
      </c>
      <c r="N171" s="348"/>
      <c r="O171" s="127">
        <f t="shared" si="216"/>
        <v>0</v>
      </c>
      <c r="P171" s="348">
        <v>2146582.14</v>
      </c>
      <c r="Q171" s="73">
        <f t="shared" si="256"/>
        <v>0.99999941597796593</v>
      </c>
      <c r="R171" s="348">
        <v>2146582.14</v>
      </c>
      <c r="S171" s="73">
        <f t="shared" si="257"/>
        <v>0.99999941597796593</v>
      </c>
      <c r="T171" s="76">
        <v>2146582.14</v>
      </c>
      <c r="U171" s="76"/>
      <c r="V171" s="76"/>
      <c r="W171" s="76">
        <v>0</v>
      </c>
      <c r="X171" s="76">
        <v>0</v>
      </c>
      <c r="Y171" s="76">
        <f t="shared" si="247"/>
        <v>2146582.14</v>
      </c>
      <c r="Z171" s="110">
        <f t="shared" si="261"/>
        <v>2146582.14</v>
      </c>
      <c r="AA171" s="110"/>
      <c r="AB171" s="134"/>
      <c r="AC171" s="111">
        <f t="shared" si="267"/>
        <v>2146582.14</v>
      </c>
      <c r="AD171" s="73">
        <f t="shared" si="258"/>
        <v>0.99999941597796593</v>
      </c>
      <c r="AE171" s="125">
        <v>5.8375899273650968E-3</v>
      </c>
      <c r="AF171" s="166">
        <f t="shared" si="262"/>
        <v>1.2536519998684525</v>
      </c>
      <c r="AG171" s="167">
        <f t="shared" si="259"/>
        <v>5.8402203407322741E-7</v>
      </c>
      <c r="AH171" s="150" t="s">
        <v>360</v>
      </c>
      <c r="AI171" s="223">
        <v>2525392.6412399998</v>
      </c>
      <c r="AJ171" s="238" t="s">
        <v>409</v>
      </c>
      <c r="AK171" s="348">
        <v>0</v>
      </c>
      <c r="AL171" s="348">
        <v>0</v>
      </c>
      <c r="AM171" s="92">
        <f t="shared" si="250"/>
        <v>0</v>
      </c>
      <c r="AN171" s="348"/>
      <c r="AO171" s="348">
        <f t="shared" si="251"/>
        <v>0</v>
      </c>
      <c r="AP171" s="92"/>
      <c r="AQ171" s="92"/>
      <c r="AR171" s="92">
        <f t="shared" si="230"/>
        <v>0</v>
      </c>
      <c r="AS171" s="92"/>
      <c r="AT171" s="92"/>
      <c r="AU171" s="382"/>
      <c r="AV171" s="256"/>
      <c r="AW171" s="289"/>
    </row>
    <row r="172" spans="1:51" s="80" customFormat="1" ht="125.25" customHeight="1">
      <c r="A172" s="375" t="s">
        <v>93</v>
      </c>
      <c r="B172" s="69" t="s">
        <v>594</v>
      </c>
      <c r="C172" s="70" t="s">
        <v>56</v>
      </c>
      <c r="D172" s="70" t="s">
        <v>156</v>
      </c>
      <c r="E172" s="104">
        <v>738777</v>
      </c>
      <c r="F172" s="91">
        <f t="shared" si="268"/>
        <v>519215.43070799997</v>
      </c>
      <c r="G172" s="79">
        <v>738777</v>
      </c>
      <c r="H172" s="79">
        <f t="shared" si="269"/>
        <v>519215.43070799997</v>
      </c>
      <c r="I172" s="79">
        <v>738777</v>
      </c>
      <c r="J172" s="348">
        <f t="shared" si="270"/>
        <v>519215.43070799997</v>
      </c>
      <c r="K172" s="348">
        <v>610841.39379599993</v>
      </c>
      <c r="L172" s="348">
        <v>519210.9</v>
      </c>
      <c r="M172" s="125">
        <f t="shared" si="246"/>
        <v>0.9999912739342246</v>
      </c>
      <c r="N172" s="348"/>
      <c r="O172" s="127">
        <f t="shared" si="216"/>
        <v>0</v>
      </c>
      <c r="P172" s="348">
        <v>519210.9</v>
      </c>
      <c r="Q172" s="73">
        <f t="shared" si="256"/>
        <v>0.9999912739342246</v>
      </c>
      <c r="R172" s="348">
        <v>519210.9</v>
      </c>
      <c r="S172" s="73">
        <f t="shared" si="257"/>
        <v>0.9999912739342246</v>
      </c>
      <c r="T172" s="76">
        <v>415367.93</v>
      </c>
      <c r="U172" s="76"/>
      <c r="V172" s="76">
        <v>103842.97</v>
      </c>
      <c r="W172" s="76">
        <v>103842.97</v>
      </c>
      <c r="X172" s="76">
        <v>0</v>
      </c>
      <c r="Y172" s="76">
        <f t="shared" si="247"/>
        <v>519210.9</v>
      </c>
      <c r="Z172" s="110">
        <f t="shared" si="261"/>
        <v>519210.9</v>
      </c>
      <c r="AA172" s="110"/>
      <c r="AB172" s="134"/>
      <c r="AC172" s="111">
        <f t="shared" si="267"/>
        <v>519210.9</v>
      </c>
      <c r="AD172" s="73">
        <f t="shared" si="258"/>
        <v>0.9999912739342246</v>
      </c>
      <c r="AE172" s="125">
        <v>0</v>
      </c>
      <c r="AF172" s="166">
        <f t="shared" si="262"/>
        <v>4.5307079999474809</v>
      </c>
      <c r="AG172" s="167">
        <f t="shared" si="259"/>
        <v>8.7260657753746395E-6</v>
      </c>
      <c r="AH172" s="151" t="s">
        <v>361</v>
      </c>
      <c r="AI172" s="348">
        <v>610841.39379599993</v>
      </c>
      <c r="AJ172" s="238" t="s">
        <v>409</v>
      </c>
      <c r="AK172" s="348">
        <v>0</v>
      </c>
      <c r="AL172" s="348">
        <v>0</v>
      </c>
      <c r="AM172" s="92">
        <f t="shared" si="250"/>
        <v>0</v>
      </c>
      <c r="AN172" s="348"/>
      <c r="AO172" s="348">
        <f t="shared" si="251"/>
        <v>0</v>
      </c>
      <c r="AP172" s="92"/>
      <c r="AQ172" s="92"/>
      <c r="AR172" s="92">
        <f t="shared" si="230"/>
        <v>0</v>
      </c>
      <c r="AS172" s="92"/>
      <c r="AT172" s="92"/>
      <c r="AU172" s="382"/>
      <c r="AV172" s="256"/>
      <c r="AW172" s="289"/>
    </row>
    <row r="173" spans="1:51" s="80" customFormat="1" ht="80.25" customHeight="1">
      <c r="A173" s="375" t="s">
        <v>94</v>
      </c>
      <c r="B173" s="69" t="s">
        <v>595</v>
      </c>
      <c r="C173" s="70" t="s">
        <v>56</v>
      </c>
      <c r="D173" s="70" t="s">
        <v>156</v>
      </c>
      <c r="E173" s="104">
        <v>0</v>
      </c>
      <c r="F173" s="91">
        <f t="shared" si="268"/>
        <v>0</v>
      </c>
      <c r="G173" s="79">
        <v>0</v>
      </c>
      <c r="H173" s="79">
        <f t="shared" si="269"/>
        <v>0</v>
      </c>
      <c r="I173" s="79">
        <v>0</v>
      </c>
      <c r="J173" s="348">
        <f t="shared" si="270"/>
        <v>0</v>
      </c>
      <c r="K173" s="348">
        <v>0</v>
      </c>
      <c r="L173" s="348"/>
      <c r="M173" s="125" t="e">
        <f t="shared" si="246"/>
        <v>#DIV/0!</v>
      </c>
      <c r="N173" s="348"/>
      <c r="O173" s="127" t="e">
        <f t="shared" si="216"/>
        <v>#DIV/0!</v>
      </c>
      <c r="P173" s="348">
        <v>0</v>
      </c>
      <c r="Q173" s="73"/>
      <c r="R173" s="348">
        <v>0</v>
      </c>
      <c r="S173" s="78">
        <v>0</v>
      </c>
      <c r="T173" s="78">
        <v>0</v>
      </c>
      <c r="U173" s="78">
        <v>0</v>
      </c>
      <c r="V173" s="78">
        <v>0</v>
      </c>
      <c r="W173" s="76">
        <v>0</v>
      </c>
      <c r="X173" s="76">
        <v>0</v>
      </c>
      <c r="Y173" s="76">
        <f t="shared" si="247"/>
        <v>0</v>
      </c>
      <c r="Z173" s="110">
        <f t="shared" si="261"/>
        <v>0</v>
      </c>
      <c r="AA173" s="110"/>
      <c r="AB173" s="134"/>
      <c r="AC173" s="111">
        <f t="shared" si="267"/>
        <v>0</v>
      </c>
      <c r="AD173" s="73"/>
      <c r="AE173" s="125"/>
      <c r="AF173" s="166">
        <f t="shared" si="262"/>
        <v>0</v>
      </c>
      <c r="AG173" s="167">
        <v>0</v>
      </c>
      <c r="AH173" s="150" t="s">
        <v>362</v>
      </c>
      <c r="AI173" s="223">
        <v>0</v>
      </c>
      <c r="AJ173" s="238" t="s">
        <v>409</v>
      </c>
      <c r="AK173" s="348">
        <v>0</v>
      </c>
      <c r="AL173" s="348">
        <v>0</v>
      </c>
      <c r="AM173" s="92">
        <v>0</v>
      </c>
      <c r="AN173" s="348"/>
      <c r="AO173" s="348">
        <f t="shared" si="251"/>
        <v>0</v>
      </c>
      <c r="AP173" s="92"/>
      <c r="AQ173" s="92"/>
      <c r="AR173" s="92" t="e">
        <f t="shared" si="230"/>
        <v>#DIV/0!</v>
      </c>
      <c r="AS173" s="92"/>
      <c r="AT173" s="92"/>
      <c r="AU173" s="382"/>
      <c r="AV173" s="256"/>
      <c r="AW173" s="289"/>
    </row>
    <row r="174" spans="1:51" s="80" customFormat="1" ht="120.75" customHeight="1">
      <c r="A174" s="375" t="s">
        <v>234</v>
      </c>
      <c r="B174" s="69" t="s">
        <v>596</v>
      </c>
      <c r="C174" s="70" t="s">
        <v>56</v>
      </c>
      <c r="D174" s="70" t="s">
        <v>156</v>
      </c>
      <c r="E174" s="104">
        <v>7138380</v>
      </c>
      <c r="F174" s="91">
        <f t="shared" si="268"/>
        <v>5016882.0175200002</v>
      </c>
      <c r="G174" s="79">
        <v>7138380</v>
      </c>
      <c r="H174" s="79">
        <f t="shared" si="269"/>
        <v>5016882.0175200002</v>
      </c>
      <c r="I174" s="79">
        <v>7138380</v>
      </c>
      <c r="J174" s="348">
        <f t="shared" si="270"/>
        <v>5016882.0175200002</v>
      </c>
      <c r="K174" s="348">
        <v>5902212.6499680001</v>
      </c>
      <c r="L174" s="348">
        <v>5015615.1900000004</v>
      </c>
      <c r="M174" s="125">
        <f t="shared" si="246"/>
        <v>0.99974748708150285</v>
      </c>
      <c r="N174" s="348"/>
      <c r="O174" s="127">
        <f t="shared" si="216"/>
        <v>0</v>
      </c>
      <c r="P174" s="348">
        <v>5015615.1900000004</v>
      </c>
      <c r="Q174" s="73">
        <f t="shared" ref="Q174:Q200" si="271">P174/J174</f>
        <v>0.99974748708150285</v>
      </c>
      <c r="R174" s="348">
        <v>5015615.1900000004</v>
      </c>
      <c r="S174" s="73">
        <f t="shared" ref="S174:S200" si="272">R174/J174</f>
        <v>0.99974748708150285</v>
      </c>
      <c r="T174" s="76">
        <v>2664910.86</v>
      </c>
      <c r="U174" s="76"/>
      <c r="V174" s="76"/>
      <c r="W174" s="76">
        <v>0</v>
      </c>
      <c r="X174" s="76">
        <v>0</v>
      </c>
      <c r="Y174" s="76">
        <f t="shared" si="247"/>
        <v>2664910.86</v>
      </c>
      <c r="Z174" s="110">
        <f t="shared" si="261"/>
        <v>2664910.86</v>
      </c>
      <c r="AA174" s="110"/>
      <c r="AB174" s="134"/>
      <c r="AC174" s="111">
        <f t="shared" si="267"/>
        <v>2664910.86</v>
      </c>
      <c r="AD174" s="73">
        <f t="shared" ref="AD174:AD200" si="273">AC174/J174</f>
        <v>0.5311886647311167</v>
      </c>
      <c r="AE174" s="125">
        <v>0</v>
      </c>
      <c r="AF174" s="166">
        <f t="shared" si="262"/>
        <v>1266.827519999817</v>
      </c>
      <c r="AG174" s="167">
        <f t="shared" ref="AG174:AG200" si="274">AF174/J174</f>
        <v>2.5251291849714437E-4</v>
      </c>
      <c r="AH174" s="150" t="s">
        <v>363</v>
      </c>
      <c r="AI174" s="223">
        <v>5902212.6499680001</v>
      </c>
      <c r="AJ174" s="238" t="s">
        <v>409</v>
      </c>
      <c r="AK174" s="348">
        <v>0</v>
      </c>
      <c r="AL174" s="348">
        <v>0</v>
      </c>
      <c r="AM174" s="92">
        <f t="shared" si="250"/>
        <v>0</v>
      </c>
      <c r="AN174" s="348"/>
      <c r="AO174" s="348">
        <f t="shared" si="251"/>
        <v>0</v>
      </c>
      <c r="AP174" s="92"/>
      <c r="AQ174" s="92"/>
      <c r="AR174" s="92">
        <f t="shared" si="230"/>
        <v>0</v>
      </c>
      <c r="AS174" s="92"/>
      <c r="AT174" s="92"/>
      <c r="AU174" s="382"/>
      <c r="AV174" s="256"/>
      <c r="AW174" s="289"/>
    </row>
    <row r="175" spans="1:51" s="80" customFormat="1" ht="75.75" customHeight="1">
      <c r="A175" s="375" t="s">
        <v>249</v>
      </c>
      <c r="B175" s="69" t="s">
        <v>597</v>
      </c>
      <c r="C175" s="70" t="s">
        <v>56</v>
      </c>
      <c r="D175" s="70" t="s">
        <v>156</v>
      </c>
      <c r="E175" s="104">
        <v>2971072</v>
      </c>
      <c r="F175" s="91">
        <f t="shared" si="268"/>
        <v>2088081.2858879999</v>
      </c>
      <c r="G175" s="104">
        <v>2971072</v>
      </c>
      <c r="H175" s="79">
        <f t="shared" si="269"/>
        <v>2088081.2858879999</v>
      </c>
      <c r="I175" s="104">
        <v>2971072</v>
      </c>
      <c r="J175" s="348">
        <f t="shared" si="270"/>
        <v>2088081.2858879999</v>
      </c>
      <c r="K175" s="348">
        <v>2456566.342716</v>
      </c>
      <c r="L175" s="348">
        <v>2073555.43</v>
      </c>
      <c r="M175" s="125">
        <f t="shared" si="246"/>
        <v>0.99304344328634575</v>
      </c>
      <c r="N175" s="348"/>
      <c r="O175" s="127">
        <f t="shared" si="216"/>
        <v>0</v>
      </c>
      <c r="P175" s="348">
        <v>2073555.43</v>
      </c>
      <c r="Q175" s="73">
        <f t="shared" si="271"/>
        <v>0.99304344328634575</v>
      </c>
      <c r="R175" s="348">
        <v>2073555.43</v>
      </c>
      <c r="S175" s="73">
        <f t="shared" si="272"/>
        <v>0.99304344328634575</v>
      </c>
      <c r="T175" s="76">
        <v>2019607.61</v>
      </c>
      <c r="U175" s="76">
        <v>0</v>
      </c>
      <c r="V175" s="76">
        <v>0</v>
      </c>
      <c r="W175" s="76">
        <v>0</v>
      </c>
      <c r="X175" s="76">
        <v>0</v>
      </c>
      <c r="Y175" s="76">
        <f>AC175-X175</f>
        <v>2019607.61</v>
      </c>
      <c r="Z175" s="110">
        <f t="shared" si="261"/>
        <v>2019607.61</v>
      </c>
      <c r="AA175" s="110"/>
      <c r="AB175" s="134"/>
      <c r="AC175" s="111">
        <f t="shared" si="267"/>
        <v>2019607.61</v>
      </c>
      <c r="AD175" s="73">
        <f t="shared" si="273"/>
        <v>0.96720737054119044</v>
      </c>
      <c r="AE175" s="125">
        <v>4.9732546953630162E-3</v>
      </c>
      <c r="AF175" s="166">
        <f t="shared" si="262"/>
        <v>14525.855887999991</v>
      </c>
      <c r="AG175" s="167">
        <f t="shared" si="274"/>
        <v>6.9565567136542624E-3</v>
      </c>
      <c r="AH175" s="356" t="s">
        <v>364</v>
      </c>
      <c r="AI175" s="357">
        <v>2456566.342716</v>
      </c>
      <c r="AJ175" s="238" t="s">
        <v>409</v>
      </c>
      <c r="AK175" s="348">
        <v>0</v>
      </c>
      <c r="AL175" s="348">
        <v>0</v>
      </c>
      <c r="AM175" s="92">
        <f t="shared" si="250"/>
        <v>0</v>
      </c>
      <c r="AN175" s="348"/>
      <c r="AO175" s="348">
        <f t="shared" si="251"/>
        <v>0</v>
      </c>
      <c r="AP175" s="92"/>
      <c r="AQ175" s="92"/>
      <c r="AR175" s="92">
        <f t="shared" si="230"/>
        <v>0</v>
      </c>
      <c r="AS175" s="92"/>
      <c r="AT175" s="92"/>
      <c r="AU175" s="382"/>
      <c r="AV175" s="253"/>
      <c r="AW175" s="289"/>
      <c r="AX175" s="245"/>
      <c r="AY175" s="245"/>
    </row>
    <row r="176" spans="1:51" s="80" customFormat="1" ht="126.75" customHeight="1">
      <c r="A176" s="377" t="s">
        <v>262</v>
      </c>
      <c r="B176" s="345" t="s">
        <v>598</v>
      </c>
      <c r="C176" s="178" t="s">
        <v>56</v>
      </c>
      <c r="D176" s="178" t="s">
        <v>687</v>
      </c>
      <c r="E176" s="202">
        <v>29886243</v>
      </c>
      <c r="F176" s="349">
        <f t="shared" si="268"/>
        <v>21004171.125372</v>
      </c>
      <c r="G176" s="202">
        <v>29886243</v>
      </c>
      <c r="H176" s="182">
        <f t="shared" si="269"/>
        <v>21004171.125372</v>
      </c>
      <c r="I176" s="202">
        <v>29886243</v>
      </c>
      <c r="J176" s="349">
        <f t="shared" si="270"/>
        <v>21004171.125372</v>
      </c>
      <c r="K176" s="349">
        <v>21004171.125372</v>
      </c>
      <c r="L176" s="349">
        <v>21133628.609999999</v>
      </c>
      <c r="M176" s="179">
        <f t="shared" si="246"/>
        <v>1.00616341791615</v>
      </c>
      <c r="N176" s="349">
        <v>173662</v>
      </c>
      <c r="O176" s="180">
        <f t="shared" si="216"/>
        <v>8.2679768205765995E-3</v>
      </c>
      <c r="P176" s="349">
        <v>20960017.93</v>
      </c>
      <c r="Q176" s="181">
        <f t="shared" si="271"/>
        <v>0.99789788441979199</v>
      </c>
      <c r="R176" s="349">
        <v>20960017.93</v>
      </c>
      <c r="S176" s="181">
        <f t="shared" si="272"/>
        <v>0.99789788441979199</v>
      </c>
      <c r="T176" s="182">
        <v>15748111.359999999</v>
      </c>
      <c r="U176" s="182"/>
      <c r="V176" s="182">
        <v>3977856.23</v>
      </c>
      <c r="W176" s="182">
        <v>3426629.8299999898</v>
      </c>
      <c r="X176" s="182">
        <v>2593.64</v>
      </c>
      <c r="Y176" s="182">
        <f t="shared" si="247"/>
        <v>19723373.949999999</v>
      </c>
      <c r="Z176" s="184">
        <f t="shared" si="261"/>
        <v>19174741.18999999</v>
      </c>
      <c r="AA176" s="184"/>
      <c r="AB176" s="179"/>
      <c r="AC176" s="199">
        <f t="shared" si="267"/>
        <v>19725967.59</v>
      </c>
      <c r="AD176" s="181">
        <f t="shared" si="273"/>
        <v>0.93914525225763401</v>
      </c>
      <c r="AE176" s="179">
        <v>1.0093867959734239E-2</v>
      </c>
      <c r="AF176" s="185">
        <f t="shared" si="262"/>
        <v>44153.195372000337</v>
      </c>
      <c r="AG176" s="186">
        <f t="shared" si="274"/>
        <v>2.1021155802080408E-3</v>
      </c>
      <c r="AH176" s="203" t="s">
        <v>367</v>
      </c>
      <c r="AI176" s="214">
        <v>24710791.047552001</v>
      </c>
      <c r="AJ176" s="239" t="s">
        <v>408</v>
      </c>
      <c r="AK176" s="349">
        <v>11220679</v>
      </c>
      <c r="AL176" s="349">
        <v>11220679</v>
      </c>
      <c r="AM176" s="207">
        <f t="shared" si="250"/>
        <v>0.53421193976304904</v>
      </c>
      <c r="AN176" s="186" t="s">
        <v>409</v>
      </c>
      <c r="AO176" s="349">
        <f t="shared" si="251"/>
        <v>11220679</v>
      </c>
      <c r="AP176" s="349">
        <v>11220679</v>
      </c>
      <c r="AQ176" s="349">
        <v>11220679</v>
      </c>
      <c r="AR176" s="207">
        <f t="shared" si="230"/>
        <v>0.53421193976304904</v>
      </c>
      <c r="AS176" s="189" t="s">
        <v>433</v>
      </c>
      <c r="AT176" s="189" t="s">
        <v>704</v>
      </c>
      <c r="AU176" s="378">
        <f>AO176/0.85-AO176</f>
        <v>1980119.823529413</v>
      </c>
      <c r="AV176" s="256"/>
      <c r="AW176" s="289"/>
    </row>
    <row r="177" spans="1:51" s="94" customFormat="1" ht="33.6" customHeight="1">
      <c r="A177" s="375" t="s">
        <v>241</v>
      </c>
      <c r="B177" s="69" t="s">
        <v>599</v>
      </c>
      <c r="C177" s="70" t="s">
        <v>56</v>
      </c>
      <c r="D177" s="70" t="s">
        <v>687</v>
      </c>
      <c r="E177" s="104">
        <v>2694748</v>
      </c>
      <c r="F177" s="91">
        <f t="shared" si="268"/>
        <v>1893879.6733919999</v>
      </c>
      <c r="G177" s="104">
        <v>2694748</v>
      </c>
      <c r="H177" s="79">
        <f t="shared" si="269"/>
        <v>1893879.6733919999</v>
      </c>
      <c r="I177" s="104">
        <v>2694748</v>
      </c>
      <c r="J177" s="348">
        <f t="shared" si="270"/>
        <v>1893879.6733919999</v>
      </c>
      <c r="K177" s="348">
        <v>1893879.6733919999</v>
      </c>
      <c r="L177" s="348">
        <v>7381716.9500000002</v>
      </c>
      <c r="M177" s="125">
        <f t="shared" si="246"/>
        <v>3.8976694526633286</v>
      </c>
      <c r="N177" s="348">
        <v>5370331.9699999997</v>
      </c>
      <c r="O177" s="127">
        <f t="shared" si="216"/>
        <v>2.8356246943511256</v>
      </c>
      <c r="P177" s="348">
        <v>1830323.98</v>
      </c>
      <c r="Q177" s="73">
        <f t="shared" si="271"/>
        <v>0.96644153570845948</v>
      </c>
      <c r="R177" s="348">
        <v>1830323.98</v>
      </c>
      <c r="S177" s="73">
        <f t="shared" si="272"/>
        <v>0.96644153570845948</v>
      </c>
      <c r="T177" s="76">
        <v>1553232.77</v>
      </c>
      <c r="U177" s="76"/>
      <c r="V177" s="76">
        <v>225236.38</v>
      </c>
      <c r="W177" s="76">
        <v>176488.14</v>
      </c>
      <c r="X177" s="76">
        <v>16838.64</v>
      </c>
      <c r="Y177" s="76">
        <f t="shared" si="247"/>
        <v>1761630.51</v>
      </c>
      <c r="Z177" s="110">
        <f t="shared" si="261"/>
        <v>1729720.9100000001</v>
      </c>
      <c r="AA177" s="110">
        <v>181061</v>
      </c>
      <c r="AB177" s="131">
        <f t="shared" ref="AB177:AB182" si="275">AA177/J177</f>
        <v>9.5603222603743293E-2</v>
      </c>
      <c r="AC177" s="111">
        <f>SUM(T177:V177)</f>
        <v>1778469.15</v>
      </c>
      <c r="AD177" s="73">
        <f t="shared" si="273"/>
        <v>0.93906132210326965</v>
      </c>
      <c r="AE177" s="125">
        <v>2.0358465138743155E-2</v>
      </c>
      <c r="AF177" s="166">
        <f t="shared" si="262"/>
        <v>63555.693391999928</v>
      </c>
      <c r="AG177" s="167">
        <f t="shared" si="274"/>
        <v>3.3558464291540559E-2</v>
      </c>
      <c r="AH177" s="152" t="s">
        <v>368</v>
      </c>
      <c r="AI177" s="209">
        <v>2228093.8987679998</v>
      </c>
      <c r="AJ177" s="238" t="s">
        <v>409</v>
      </c>
      <c r="AK177" s="348">
        <v>0</v>
      </c>
      <c r="AL177" s="348">
        <v>0</v>
      </c>
      <c r="AM177" s="92">
        <f t="shared" si="250"/>
        <v>0</v>
      </c>
      <c r="AN177" s="348"/>
      <c r="AO177" s="348">
        <f t="shared" si="251"/>
        <v>0</v>
      </c>
      <c r="AP177" s="92"/>
      <c r="AQ177" s="92"/>
      <c r="AR177" s="92">
        <f t="shared" si="230"/>
        <v>0</v>
      </c>
      <c r="AS177" s="92"/>
      <c r="AT177" s="92"/>
      <c r="AU177" s="382"/>
      <c r="AV177" s="255"/>
      <c r="AW177" s="289"/>
    </row>
    <row r="178" spans="1:51" s="94" customFormat="1" ht="41.25" customHeight="1">
      <c r="A178" s="373" t="s">
        <v>95</v>
      </c>
      <c r="B178" s="64" t="s">
        <v>600</v>
      </c>
      <c r="C178" s="65" t="s">
        <v>56</v>
      </c>
      <c r="D178" s="65" t="s">
        <v>685</v>
      </c>
      <c r="E178" s="105"/>
      <c r="F178" s="90">
        <f>F179+F182+F183</f>
        <v>145516627.32562798</v>
      </c>
      <c r="G178" s="90"/>
      <c r="H178" s="90">
        <f>H179+H182+H183</f>
        <v>145516627.32562798</v>
      </c>
      <c r="I178" s="90"/>
      <c r="J178" s="347">
        <f>J179+J182+J183</f>
        <v>145516627.32562798</v>
      </c>
      <c r="K178" s="347">
        <f t="shared" ref="K178:AL178" si="276">K179+K182+K183</f>
        <v>158825860.70735997</v>
      </c>
      <c r="L178" s="347">
        <f t="shared" si="276"/>
        <v>160656521.59</v>
      </c>
      <c r="M178" s="347">
        <f t="shared" si="276"/>
        <v>5.7107858675904959</v>
      </c>
      <c r="N178" s="347">
        <f t="shared" si="276"/>
        <v>9610722.4199999999</v>
      </c>
      <c r="O178" s="347">
        <f t="shared" si="276"/>
        <v>0.27033991270199331</v>
      </c>
      <c r="P178" s="347">
        <f t="shared" si="276"/>
        <v>144067513.84999999</v>
      </c>
      <c r="Q178" s="347">
        <f t="shared" si="276"/>
        <v>4.6357780511491029</v>
      </c>
      <c r="R178" s="347">
        <f t="shared" si="276"/>
        <v>144063348.84999999</v>
      </c>
      <c r="S178" s="347">
        <f t="shared" si="276"/>
        <v>4.6346057692917721</v>
      </c>
      <c r="T178" s="347">
        <f t="shared" si="276"/>
        <v>39693401.25</v>
      </c>
      <c r="U178" s="347">
        <f t="shared" si="276"/>
        <v>0</v>
      </c>
      <c r="V178" s="347">
        <f t="shared" si="276"/>
        <v>29066328.93</v>
      </c>
      <c r="W178" s="347">
        <f t="shared" si="276"/>
        <v>8001052.7200000109</v>
      </c>
      <c r="X178" s="347">
        <f t="shared" si="276"/>
        <v>995.4</v>
      </c>
      <c r="Y178" s="347">
        <f t="shared" si="276"/>
        <v>68758734.780000001</v>
      </c>
      <c r="Z178" s="347">
        <f t="shared" si="276"/>
        <v>47694453.970000014</v>
      </c>
      <c r="AA178" s="347">
        <f t="shared" si="276"/>
        <v>6785534.3899999997</v>
      </c>
      <c r="AB178" s="347">
        <f t="shared" si="276"/>
        <v>0.75041618267751953</v>
      </c>
      <c r="AC178" s="347">
        <f t="shared" si="276"/>
        <v>68759730.179999992</v>
      </c>
      <c r="AD178" s="347">
        <f t="shared" si="276"/>
        <v>2.5577720995586204</v>
      </c>
      <c r="AE178" s="347">
        <f t="shared" si="276"/>
        <v>4.6098498848171961E-3</v>
      </c>
      <c r="AF178" s="347">
        <f t="shared" si="276"/>
        <v>1453277.9116520006</v>
      </c>
      <c r="AG178" s="347">
        <f t="shared" si="276"/>
        <v>0.36539417150837078</v>
      </c>
      <c r="AH178" s="347" t="e">
        <f t="shared" si="276"/>
        <v>#VALUE!</v>
      </c>
      <c r="AI178" s="347">
        <f t="shared" si="276"/>
        <v>171196031.98243201</v>
      </c>
      <c r="AJ178" s="237" t="s">
        <v>409</v>
      </c>
      <c r="AK178" s="347">
        <f t="shared" si="276"/>
        <v>0</v>
      </c>
      <c r="AL178" s="347">
        <f t="shared" si="276"/>
        <v>0</v>
      </c>
      <c r="AM178" s="92">
        <f t="shared" si="250"/>
        <v>0</v>
      </c>
      <c r="AN178" s="348"/>
      <c r="AO178" s="347">
        <f t="shared" si="251"/>
        <v>0</v>
      </c>
      <c r="AP178" s="347">
        <f t="shared" ref="AP178:AQ178" si="277">AP179+AP182+AP183</f>
        <v>10600000</v>
      </c>
      <c r="AQ178" s="347">
        <f t="shared" si="277"/>
        <v>10600000</v>
      </c>
      <c r="AR178" s="92">
        <f t="shared" si="230"/>
        <v>6.6739761099300604E-2</v>
      </c>
      <c r="AS178" s="92"/>
      <c r="AT178" s="92"/>
      <c r="AU178" s="380"/>
      <c r="AV178" s="256"/>
      <c r="AW178" s="289"/>
    </row>
    <row r="179" spans="1:51" s="80" customFormat="1" ht="33">
      <c r="A179" s="381" t="s">
        <v>96</v>
      </c>
      <c r="B179" s="74" t="s">
        <v>601</v>
      </c>
      <c r="C179" s="75" t="s">
        <v>56</v>
      </c>
      <c r="D179" s="75" t="s">
        <v>685</v>
      </c>
      <c r="E179" s="106"/>
      <c r="F179" s="91">
        <f>F180+F181</f>
        <v>7657701.7821120005</v>
      </c>
      <c r="G179" s="91"/>
      <c r="H179" s="91">
        <f>H180+H181</f>
        <v>7657701.7821120005</v>
      </c>
      <c r="I179" s="91"/>
      <c r="J179" s="348">
        <f>J180+J181</f>
        <v>7657701.7821120005</v>
      </c>
      <c r="K179" s="348">
        <f t="shared" ref="K179:AI179" si="278">K180+K181</f>
        <v>7657701.7821120005</v>
      </c>
      <c r="L179" s="348">
        <f t="shared" si="278"/>
        <v>7553894.9299999997</v>
      </c>
      <c r="M179" s="348">
        <f t="shared" si="278"/>
        <v>1.9530954706946306</v>
      </c>
      <c r="N179" s="348">
        <f t="shared" si="278"/>
        <v>749455.52</v>
      </c>
      <c r="O179" s="348">
        <f t="shared" si="278"/>
        <v>0.19654219961192521</v>
      </c>
      <c r="P179" s="348">
        <f t="shared" si="278"/>
        <v>6352799.1899999995</v>
      </c>
      <c r="Q179" s="348">
        <f t="shared" si="278"/>
        <v>1.6369791646578213</v>
      </c>
      <c r="R179" s="348">
        <f t="shared" si="278"/>
        <v>6348634.1899999995</v>
      </c>
      <c r="S179" s="348">
        <f t="shared" si="278"/>
        <v>1.6358068828004901</v>
      </c>
      <c r="T179" s="348">
        <f t="shared" si="278"/>
        <v>1955723.7200000002</v>
      </c>
      <c r="U179" s="348">
        <f t="shared" si="278"/>
        <v>0</v>
      </c>
      <c r="V179" s="348">
        <f t="shared" si="278"/>
        <v>1487621.59</v>
      </c>
      <c r="W179" s="348">
        <f t="shared" si="278"/>
        <v>644990.34000000102</v>
      </c>
      <c r="X179" s="348">
        <f t="shared" si="278"/>
        <v>995.4</v>
      </c>
      <c r="Y179" s="348">
        <f t="shared" si="278"/>
        <v>3442349.91</v>
      </c>
      <c r="Z179" s="348">
        <f t="shared" si="278"/>
        <v>2600714.0600000015</v>
      </c>
      <c r="AA179" s="348">
        <f t="shared" si="278"/>
        <v>258889.29</v>
      </c>
      <c r="AB179" s="348">
        <f t="shared" si="278"/>
        <v>6.5322385363004457E-2</v>
      </c>
      <c r="AC179" s="348">
        <f t="shared" si="278"/>
        <v>3443345.31</v>
      </c>
      <c r="AD179" s="348">
        <f t="shared" si="278"/>
        <v>0.84393718360146441</v>
      </c>
      <c r="AE179" s="348">
        <f t="shared" si="278"/>
        <v>1.4811674087064994E-3</v>
      </c>
      <c r="AF179" s="348">
        <f t="shared" si="278"/>
        <v>1309067.5921120001</v>
      </c>
      <c r="AG179" s="348">
        <f t="shared" si="278"/>
        <v>0.36419311719950986</v>
      </c>
      <c r="AH179" s="348" t="e">
        <f t="shared" si="278"/>
        <v>#VALUE!</v>
      </c>
      <c r="AI179" s="348">
        <f t="shared" si="278"/>
        <v>9009061.044156</v>
      </c>
      <c r="AJ179" s="238" t="s">
        <v>409</v>
      </c>
      <c r="AK179" s="348">
        <f t="shared" ref="AK179:AL179" si="279">AK180+AK181</f>
        <v>0</v>
      </c>
      <c r="AL179" s="348">
        <f t="shared" si="279"/>
        <v>0</v>
      </c>
      <c r="AM179" s="92">
        <f t="shared" si="250"/>
        <v>0</v>
      </c>
      <c r="AN179" s="348"/>
      <c r="AO179" s="348">
        <f t="shared" si="251"/>
        <v>0</v>
      </c>
      <c r="AP179" s="348"/>
      <c r="AQ179" s="348"/>
      <c r="AR179" s="92">
        <f t="shared" si="230"/>
        <v>0</v>
      </c>
      <c r="AS179" s="92"/>
      <c r="AT179" s="92"/>
      <c r="AU179" s="382"/>
      <c r="AV179" s="256"/>
      <c r="AW179" s="289"/>
    </row>
    <row r="180" spans="1:51" s="80" customFormat="1" ht="53.25" customHeight="1">
      <c r="A180" s="375" t="s">
        <v>303</v>
      </c>
      <c r="B180" s="69" t="s">
        <v>602</v>
      </c>
      <c r="C180" s="70" t="s">
        <v>56</v>
      </c>
      <c r="D180" s="70" t="s">
        <v>685</v>
      </c>
      <c r="E180" s="104">
        <v>5055321</v>
      </c>
      <c r="F180" s="91">
        <f>E180*$E$6</f>
        <v>3552899.820084</v>
      </c>
      <c r="G180" s="79">
        <v>5055321</v>
      </c>
      <c r="H180" s="79">
        <f>G180*$G$6</f>
        <v>3552899.820084</v>
      </c>
      <c r="I180" s="104">
        <v>5055321</v>
      </c>
      <c r="J180" s="348">
        <f>I180*$I$6</f>
        <v>3552899.820084</v>
      </c>
      <c r="K180" s="348">
        <v>3552899.820084</v>
      </c>
      <c r="L180" s="348">
        <v>2981715.28</v>
      </c>
      <c r="M180" s="125">
        <f t="shared" si="246"/>
        <v>0.83923426806036538</v>
      </c>
      <c r="N180" s="348">
        <v>368944.5</v>
      </c>
      <c r="O180" s="127">
        <f t="shared" si="216"/>
        <v>0.10384320377242642</v>
      </c>
      <c r="P180" s="348">
        <v>2360497.16</v>
      </c>
      <c r="Q180" s="73">
        <f t="shared" si="271"/>
        <v>0.66438607321728305</v>
      </c>
      <c r="R180" s="348">
        <v>2356332.16</v>
      </c>
      <c r="S180" s="73">
        <f t="shared" si="272"/>
        <v>0.66321379135995173</v>
      </c>
      <c r="T180" s="76">
        <v>85471.8</v>
      </c>
      <c r="U180" s="76"/>
      <c r="V180" s="76">
        <v>48749.25</v>
      </c>
      <c r="W180" s="76">
        <v>328.24000000002002</v>
      </c>
      <c r="X180" s="76">
        <v>0</v>
      </c>
      <c r="Y180" s="76">
        <f t="shared" si="247"/>
        <v>134221.04999999999</v>
      </c>
      <c r="Z180" s="110">
        <f t="shared" si="261"/>
        <v>85800.040000000023</v>
      </c>
      <c r="AA180" s="110">
        <v>59522.69</v>
      </c>
      <c r="AB180" s="131">
        <f t="shared" si="275"/>
        <v>1.6753270008776303E-2</v>
      </c>
      <c r="AC180" s="111">
        <f>SUM(T180:V180)</f>
        <v>134221.04999999999</v>
      </c>
      <c r="AD180" s="73">
        <f t="shared" si="273"/>
        <v>3.7777887583902277E-2</v>
      </c>
      <c r="AE180" s="125">
        <v>0</v>
      </c>
      <c r="AF180" s="166">
        <f t="shared" si="262"/>
        <v>1196567.6600839999</v>
      </c>
      <c r="AG180" s="167">
        <f t="shared" si="274"/>
        <v>0.33678620864004821</v>
      </c>
      <c r="AH180" s="159" t="s">
        <v>414</v>
      </c>
      <c r="AI180" s="208">
        <v>4179882.5133480001</v>
      </c>
      <c r="AJ180" s="238" t="s">
        <v>409</v>
      </c>
      <c r="AK180" s="348">
        <v>0</v>
      </c>
      <c r="AL180" s="348">
        <v>0</v>
      </c>
      <c r="AM180" s="92">
        <f t="shared" si="250"/>
        <v>0</v>
      </c>
      <c r="AN180" s="125"/>
      <c r="AO180" s="348">
        <f t="shared" si="251"/>
        <v>0</v>
      </c>
      <c r="AP180" s="165"/>
      <c r="AQ180" s="165"/>
      <c r="AR180" s="92">
        <f t="shared" si="230"/>
        <v>0</v>
      </c>
      <c r="AS180" s="165"/>
      <c r="AT180" s="165"/>
      <c r="AU180" s="382"/>
      <c r="AV180" s="256"/>
      <c r="AW180" s="289"/>
    </row>
    <row r="181" spans="1:51" s="80" customFormat="1" ht="57" customHeight="1">
      <c r="A181" s="375" t="s">
        <v>263</v>
      </c>
      <c r="B181" s="69" t="s">
        <v>603</v>
      </c>
      <c r="C181" s="70" t="s">
        <v>56</v>
      </c>
      <c r="D181" s="70" t="s">
        <v>685</v>
      </c>
      <c r="E181" s="104">
        <v>5840607</v>
      </c>
      <c r="F181" s="91">
        <f>E181*$E$6</f>
        <v>4104801.962028</v>
      </c>
      <c r="G181" s="79">
        <v>5840607</v>
      </c>
      <c r="H181" s="79">
        <f>G181*$G$6</f>
        <v>4104801.962028</v>
      </c>
      <c r="I181" s="104">
        <v>5840607</v>
      </c>
      <c r="J181" s="348">
        <f>I181*$I$6</f>
        <v>4104801.962028</v>
      </c>
      <c r="K181" s="348">
        <v>4104801.962028</v>
      </c>
      <c r="L181" s="348">
        <v>4572179.6500000004</v>
      </c>
      <c r="M181" s="125">
        <f t="shared" si="246"/>
        <v>1.1138612026342654</v>
      </c>
      <c r="N181" s="348">
        <v>380511.02</v>
      </c>
      <c r="O181" s="127">
        <f t="shared" si="216"/>
        <v>9.2698995839498782E-2</v>
      </c>
      <c r="P181" s="348">
        <v>3992302.03</v>
      </c>
      <c r="Q181" s="73">
        <f t="shared" si="271"/>
        <v>0.97259309144053829</v>
      </c>
      <c r="R181" s="348">
        <v>3992302.03</v>
      </c>
      <c r="S181" s="73">
        <f t="shared" si="272"/>
        <v>0.97259309144053829</v>
      </c>
      <c r="T181" s="76">
        <v>1870251.9200000002</v>
      </c>
      <c r="U181" s="76"/>
      <c r="V181" s="76">
        <v>1438872.34</v>
      </c>
      <c r="W181" s="76">
        <v>644662.10000000102</v>
      </c>
      <c r="X181" s="76">
        <v>995.4</v>
      </c>
      <c r="Y181" s="76">
        <f t="shared" si="247"/>
        <v>3308128.8600000003</v>
      </c>
      <c r="Z181" s="110">
        <f t="shared" ref="Z181:Z182" si="280">T181+U181+W181</f>
        <v>2514914.0200000014</v>
      </c>
      <c r="AA181" s="110">
        <v>199366.6</v>
      </c>
      <c r="AB181" s="131">
        <f t="shared" si="275"/>
        <v>4.8569115354228157E-2</v>
      </c>
      <c r="AC181" s="111">
        <f>SUM(T181:V181)</f>
        <v>3309124.2600000002</v>
      </c>
      <c r="AD181" s="73">
        <f t="shared" si="273"/>
        <v>0.80615929601756209</v>
      </c>
      <c r="AE181" s="125">
        <v>1.4811674087064994E-3</v>
      </c>
      <c r="AF181" s="166">
        <f t="shared" si="262"/>
        <v>112499.93202800024</v>
      </c>
      <c r="AG181" s="167">
        <f t="shared" si="274"/>
        <v>2.7406908559461669E-2</v>
      </c>
      <c r="AH181" s="159" t="s">
        <v>413</v>
      </c>
      <c r="AI181" s="208">
        <v>4829178.5308079999</v>
      </c>
      <c r="AJ181" s="238" t="s">
        <v>409</v>
      </c>
      <c r="AK181" s="348">
        <v>0</v>
      </c>
      <c r="AL181" s="348">
        <v>0</v>
      </c>
      <c r="AM181" s="92">
        <f t="shared" si="250"/>
        <v>0</v>
      </c>
      <c r="AN181" s="125"/>
      <c r="AO181" s="348">
        <f t="shared" si="251"/>
        <v>0</v>
      </c>
      <c r="AP181" s="165"/>
      <c r="AQ181" s="165"/>
      <c r="AR181" s="92">
        <f t="shared" si="230"/>
        <v>0</v>
      </c>
      <c r="AS181" s="165"/>
      <c r="AT181" s="165"/>
      <c r="AU181" s="382"/>
      <c r="AV181" s="256"/>
      <c r="AW181" s="289"/>
    </row>
    <row r="182" spans="1:51" s="94" customFormat="1" ht="201.75" customHeight="1">
      <c r="A182" s="377" t="s">
        <v>209</v>
      </c>
      <c r="B182" s="345" t="s">
        <v>604</v>
      </c>
      <c r="C182" s="178" t="s">
        <v>56</v>
      </c>
      <c r="D182" s="178" t="s">
        <v>685</v>
      </c>
      <c r="E182" s="202">
        <v>13555194</v>
      </c>
      <c r="F182" s="349">
        <f>E182*$E$6</f>
        <v>9526644.5639759991</v>
      </c>
      <c r="G182" s="182">
        <v>13555194</v>
      </c>
      <c r="H182" s="182">
        <f>G182*$G$6</f>
        <v>9526644.5639759991</v>
      </c>
      <c r="I182" s="202">
        <v>13555194</v>
      </c>
      <c r="J182" s="349">
        <f>I182*$I$6</f>
        <v>9526644.5639759991</v>
      </c>
      <c r="K182" s="349">
        <v>10678405.381607998</v>
      </c>
      <c r="L182" s="349">
        <v>16053289.1</v>
      </c>
      <c r="M182" s="179">
        <f t="shared" si="246"/>
        <v>1.6850937381146578</v>
      </c>
      <c r="N182" s="349"/>
      <c r="O182" s="180">
        <f t="shared" si="216"/>
        <v>0</v>
      </c>
      <c r="P182" s="349">
        <v>9526644</v>
      </c>
      <c r="Q182" s="181">
        <f t="shared" si="271"/>
        <v>0.99999994080014265</v>
      </c>
      <c r="R182" s="349">
        <v>9526644</v>
      </c>
      <c r="S182" s="181">
        <f t="shared" si="272"/>
        <v>0.99999994080014265</v>
      </c>
      <c r="T182" s="182">
        <v>2469344.9</v>
      </c>
      <c r="U182" s="182"/>
      <c r="V182" s="182"/>
      <c r="W182" s="182">
        <v>0</v>
      </c>
      <c r="X182" s="182">
        <v>0</v>
      </c>
      <c r="Y182" s="182">
        <f t="shared" si="247"/>
        <v>2469344.9</v>
      </c>
      <c r="Z182" s="184">
        <f t="shared" si="280"/>
        <v>2469344.9</v>
      </c>
      <c r="AA182" s="184">
        <v>6526645.0999999996</v>
      </c>
      <c r="AB182" s="196">
        <f t="shared" si="275"/>
        <v>0.68509379731451503</v>
      </c>
      <c r="AC182" s="199">
        <f>SUM(T182:V182)</f>
        <v>2469344.9</v>
      </c>
      <c r="AD182" s="181">
        <f t="shared" si="273"/>
        <v>0.25920405483978765</v>
      </c>
      <c r="AE182" s="179">
        <v>0</v>
      </c>
      <c r="AF182" s="185">
        <v>0</v>
      </c>
      <c r="AG182" s="186">
        <f t="shared" si="274"/>
        <v>0</v>
      </c>
      <c r="AH182" s="323" t="s">
        <v>395</v>
      </c>
      <c r="AI182" s="324">
        <v>10678405.381607998</v>
      </c>
      <c r="AJ182" s="239" t="s">
        <v>408</v>
      </c>
      <c r="AK182" s="349">
        <v>0</v>
      </c>
      <c r="AL182" s="349">
        <v>0</v>
      </c>
      <c r="AM182" s="207">
        <f t="shared" si="250"/>
        <v>0</v>
      </c>
      <c r="AN182" s="349"/>
      <c r="AO182" s="349">
        <f t="shared" si="251"/>
        <v>0</v>
      </c>
      <c r="AP182" s="325">
        <v>10600000</v>
      </c>
      <c r="AQ182" s="325">
        <v>10600000</v>
      </c>
      <c r="AR182" s="207">
        <f t="shared" si="230"/>
        <v>0.99265757584526249</v>
      </c>
      <c r="AS182" s="325" t="s">
        <v>433</v>
      </c>
      <c r="AT182" s="309" t="s">
        <v>714</v>
      </c>
      <c r="AU182" s="378"/>
      <c r="AV182" s="256"/>
      <c r="AW182" s="289"/>
    </row>
    <row r="183" spans="1:51" s="80" customFormat="1" ht="75.75" customHeight="1">
      <c r="A183" s="381" t="s">
        <v>97</v>
      </c>
      <c r="B183" s="74" t="s">
        <v>605</v>
      </c>
      <c r="C183" s="75" t="s">
        <v>56</v>
      </c>
      <c r="D183" s="75" t="s">
        <v>685</v>
      </c>
      <c r="E183" s="106"/>
      <c r="F183" s="91">
        <f>F184+F185</f>
        <v>128332280.97953999</v>
      </c>
      <c r="G183" s="91"/>
      <c r="H183" s="91">
        <f>H184+H185</f>
        <v>128332280.97953999</v>
      </c>
      <c r="I183" s="91"/>
      <c r="J183" s="348">
        <f>J184+J185</f>
        <v>128332280.97953999</v>
      </c>
      <c r="K183" s="348">
        <f>K184+K185</f>
        <v>140489753.54363999</v>
      </c>
      <c r="L183" s="348">
        <f t="shared" ref="L183:AI183" si="281">L184+L185</f>
        <v>137049337.56</v>
      </c>
      <c r="M183" s="348">
        <f t="shared" si="281"/>
        <v>2.0725966587812072</v>
      </c>
      <c r="N183" s="348">
        <f t="shared" si="281"/>
        <v>8861266.9000000004</v>
      </c>
      <c r="O183" s="348">
        <f t="shared" si="281"/>
        <v>7.3797713090068121E-2</v>
      </c>
      <c r="P183" s="348">
        <f t="shared" si="281"/>
        <v>128188070.66</v>
      </c>
      <c r="Q183" s="348">
        <f t="shared" si="281"/>
        <v>1.998798945691139</v>
      </c>
      <c r="R183" s="348">
        <f t="shared" si="281"/>
        <v>128188070.66</v>
      </c>
      <c r="S183" s="348">
        <f t="shared" si="281"/>
        <v>1.998798945691139</v>
      </c>
      <c r="T183" s="348">
        <f t="shared" si="281"/>
        <v>35268332.630000003</v>
      </c>
      <c r="U183" s="348">
        <f t="shared" si="281"/>
        <v>0</v>
      </c>
      <c r="V183" s="348">
        <f t="shared" si="281"/>
        <v>27578707.34</v>
      </c>
      <c r="W183" s="348">
        <f t="shared" si="281"/>
        <v>7356062.3800000101</v>
      </c>
      <c r="X183" s="348">
        <f t="shared" si="281"/>
        <v>0</v>
      </c>
      <c r="Y183" s="348">
        <f t="shared" si="281"/>
        <v>62847039.969999999</v>
      </c>
      <c r="Z183" s="348">
        <f t="shared" si="281"/>
        <v>42624395.010000013</v>
      </c>
      <c r="AA183" s="348">
        <f t="shared" si="281"/>
        <v>0</v>
      </c>
      <c r="AB183" s="348">
        <f t="shared" si="281"/>
        <v>0</v>
      </c>
      <c r="AC183" s="348">
        <f t="shared" si="281"/>
        <v>62847039.969999999</v>
      </c>
      <c r="AD183" s="348">
        <f t="shared" si="281"/>
        <v>1.4546308611173684</v>
      </c>
      <c r="AE183" s="348">
        <f t="shared" si="281"/>
        <v>3.1286824761106967E-3</v>
      </c>
      <c r="AF183" s="348">
        <f t="shared" si="281"/>
        <v>144210.31954000052</v>
      </c>
      <c r="AG183" s="348">
        <f t="shared" si="281"/>
        <v>1.2010543088609269E-3</v>
      </c>
      <c r="AH183" s="348" t="e">
        <f t="shared" si="281"/>
        <v>#VALUE!</v>
      </c>
      <c r="AI183" s="348">
        <f t="shared" si="281"/>
        <v>151508565.55666801</v>
      </c>
      <c r="AJ183" s="238" t="s">
        <v>409</v>
      </c>
      <c r="AK183" s="348">
        <f>AK184+AK185</f>
        <v>0</v>
      </c>
      <c r="AL183" s="348">
        <f>AL184+AL185</f>
        <v>0</v>
      </c>
      <c r="AM183" s="92">
        <f t="shared" si="250"/>
        <v>0</v>
      </c>
      <c r="AN183" s="348"/>
      <c r="AO183" s="348">
        <f t="shared" si="251"/>
        <v>0</v>
      </c>
      <c r="AP183" s="348"/>
      <c r="AQ183" s="348"/>
      <c r="AR183" s="92">
        <f t="shared" si="230"/>
        <v>0</v>
      </c>
      <c r="AS183" s="322"/>
      <c r="AT183" s="322"/>
      <c r="AU183" s="382"/>
      <c r="AV183" s="256"/>
      <c r="AW183" s="289"/>
    </row>
    <row r="184" spans="1:51" s="80" customFormat="1" ht="62.25" customHeight="1">
      <c r="A184" s="375" t="s">
        <v>211</v>
      </c>
      <c r="B184" s="69" t="s">
        <v>606</v>
      </c>
      <c r="C184" s="70" t="s">
        <v>56</v>
      </c>
      <c r="D184" s="70" t="s">
        <v>685</v>
      </c>
      <c r="E184" s="104">
        <v>170851458</v>
      </c>
      <c r="F184" s="91">
        <f>E184*$E$6</f>
        <v>120075088.088232</v>
      </c>
      <c r="G184" s="79">
        <v>170851458</v>
      </c>
      <c r="H184" s="79">
        <f>G184*$G$6</f>
        <v>120075088.088232</v>
      </c>
      <c r="I184" s="104">
        <v>170851458</v>
      </c>
      <c r="J184" s="348">
        <f>I184*$I$6</f>
        <v>120075088.088232</v>
      </c>
      <c r="K184" s="348">
        <v>130775408.304168</v>
      </c>
      <c r="L184" s="348">
        <v>128792145.14</v>
      </c>
      <c r="M184" s="125">
        <f t="shared" si="246"/>
        <v>1.0725967158596847</v>
      </c>
      <c r="N184" s="348">
        <v>8861266.9000000004</v>
      </c>
      <c r="O184" s="127">
        <f t="shared" si="216"/>
        <v>7.3797713090068121E-2</v>
      </c>
      <c r="P184" s="348">
        <v>119930878.23999999</v>
      </c>
      <c r="Q184" s="73">
        <f t="shared" si="271"/>
        <v>0.99879900276961664</v>
      </c>
      <c r="R184" s="348">
        <v>119930878.23999999</v>
      </c>
      <c r="S184" s="73">
        <f t="shared" si="272"/>
        <v>0.99879900276961664</v>
      </c>
      <c r="T184" s="76">
        <v>28439140.210000001</v>
      </c>
      <c r="U184" s="76"/>
      <c r="V184" s="76">
        <v>26150707.34</v>
      </c>
      <c r="W184" s="76">
        <v>5928062.3800000101</v>
      </c>
      <c r="X184" s="76">
        <v>0</v>
      </c>
      <c r="Y184" s="76">
        <f t="shared" ref="Y184:Y248" si="282">AC184-X184</f>
        <v>54589847.549999997</v>
      </c>
      <c r="Z184" s="348">
        <f t="shared" si="248"/>
        <v>34367202.590000011</v>
      </c>
      <c r="AA184" s="348"/>
      <c r="AB184" s="125"/>
      <c r="AC184" s="111">
        <f>SUM(T184:V184)</f>
        <v>54589847.549999997</v>
      </c>
      <c r="AD184" s="73">
        <f t="shared" si="273"/>
        <v>0.45463091819584595</v>
      </c>
      <c r="AE184" s="125">
        <v>2.3704919367074791E-3</v>
      </c>
      <c r="AF184" s="166">
        <f t="shared" ref="AF184:AF211" si="283">J184-R184</f>
        <v>144209.84823200107</v>
      </c>
      <c r="AG184" s="167">
        <f t="shared" si="274"/>
        <v>1.2009972303833306E-3</v>
      </c>
      <c r="AH184" s="159" t="s">
        <v>396</v>
      </c>
      <c r="AI184" s="208">
        <v>141794220.31719601</v>
      </c>
      <c r="AJ184" s="238" t="s">
        <v>409</v>
      </c>
      <c r="AK184" s="348">
        <v>0</v>
      </c>
      <c r="AL184" s="348">
        <v>0</v>
      </c>
      <c r="AM184" s="92">
        <f t="shared" si="250"/>
        <v>0</v>
      </c>
      <c r="AN184" s="348"/>
      <c r="AO184" s="348">
        <f t="shared" si="251"/>
        <v>0</v>
      </c>
      <c r="AP184" s="84"/>
      <c r="AQ184" s="84"/>
      <c r="AR184" s="92">
        <f t="shared" si="230"/>
        <v>0</v>
      </c>
      <c r="AS184" s="84"/>
      <c r="AT184" s="308"/>
      <c r="AU184" s="382"/>
      <c r="AV184" s="256"/>
      <c r="AW184" s="289"/>
    </row>
    <row r="185" spans="1:51" s="94" customFormat="1" ht="69.75" customHeight="1">
      <c r="A185" s="375" t="s">
        <v>212</v>
      </c>
      <c r="B185" s="69" t="s">
        <v>607</v>
      </c>
      <c r="C185" s="70" t="s">
        <v>56</v>
      </c>
      <c r="D185" s="70" t="s">
        <v>685</v>
      </c>
      <c r="E185" s="104">
        <v>11748927</v>
      </c>
      <c r="F185" s="91">
        <f>E185*$E$6</f>
        <v>8257192.8913079994</v>
      </c>
      <c r="G185" s="104">
        <v>11748927</v>
      </c>
      <c r="H185" s="79">
        <f>G185*$G$6</f>
        <v>8257192.8913079994</v>
      </c>
      <c r="I185" s="104">
        <v>11748927</v>
      </c>
      <c r="J185" s="348">
        <f>I185*$I$6</f>
        <v>8257192.8913079994</v>
      </c>
      <c r="K185" s="348">
        <v>9714345.2394719999</v>
      </c>
      <c r="L185" s="348">
        <v>8257192.4199999999</v>
      </c>
      <c r="M185" s="125">
        <f t="shared" si="246"/>
        <v>0.99999994292152239</v>
      </c>
      <c r="N185" s="348"/>
      <c r="O185" s="127">
        <f t="shared" si="216"/>
        <v>0</v>
      </c>
      <c r="P185" s="348">
        <v>8257192.4199999999</v>
      </c>
      <c r="Q185" s="73">
        <f t="shared" si="271"/>
        <v>0.99999994292152239</v>
      </c>
      <c r="R185" s="348">
        <v>8257192.4199999999</v>
      </c>
      <c r="S185" s="73">
        <f t="shared" si="272"/>
        <v>0.99999994292152239</v>
      </c>
      <c r="T185" s="76">
        <v>6829192.4199999999</v>
      </c>
      <c r="U185" s="76"/>
      <c r="V185" s="76">
        <v>1428000</v>
      </c>
      <c r="W185" s="76">
        <v>1428000</v>
      </c>
      <c r="X185" s="76">
        <v>0</v>
      </c>
      <c r="Y185" s="76">
        <f t="shared" si="282"/>
        <v>8257192.4199999999</v>
      </c>
      <c r="Z185" s="348">
        <f t="shared" si="248"/>
        <v>8257192.4199999999</v>
      </c>
      <c r="AA185" s="348"/>
      <c r="AB185" s="125"/>
      <c r="AC185" s="111">
        <f>SUM(T185:V185)</f>
        <v>8257192.4199999999</v>
      </c>
      <c r="AD185" s="73">
        <f t="shared" si="273"/>
        <v>0.99999994292152239</v>
      </c>
      <c r="AE185" s="125">
        <v>7.5819053940321746E-4</v>
      </c>
      <c r="AF185" s="166">
        <f t="shared" si="283"/>
        <v>0.47130799945443869</v>
      </c>
      <c r="AG185" s="167">
        <f t="shared" si="274"/>
        <v>5.7078477596250036E-8</v>
      </c>
      <c r="AH185" s="159" t="s">
        <v>397</v>
      </c>
      <c r="AI185" s="208">
        <v>9714345.2394719999</v>
      </c>
      <c r="AJ185" s="238" t="s">
        <v>409</v>
      </c>
      <c r="AK185" s="348">
        <v>0</v>
      </c>
      <c r="AL185" s="348">
        <v>0</v>
      </c>
      <c r="AM185" s="92">
        <f t="shared" si="250"/>
        <v>0</v>
      </c>
      <c r="AN185" s="348"/>
      <c r="AO185" s="348">
        <f t="shared" si="251"/>
        <v>0</v>
      </c>
      <c r="AP185" s="92"/>
      <c r="AQ185" s="92"/>
      <c r="AR185" s="92">
        <f t="shared" si="230"/>
        <v>0</v>
      </c>
      <c r="AS185" s="92"/>
      <c r="AT185" s="92"/>
      <c r="AU185" s="382"/>
      <c r="AV185" s="255"/>
      <c r="AW185" s="289"/>
      <c r="AX185" s="245"/>
      <c r="AY185" s="245"/>
    </row>
    <row r="186" spans="1:51" s="94" customFormat="1" ht="66">
      <c r="A186" s="373" t="s">
        <v>98</v>
      </c>
      <c r="B186" s="64" t="s">
        <v>608</v>
      </c>
      <c r="C186" s="65" t="s">
        <v>56</v>
      </c>
      <c r="D186" s="65" t="s">
        <v>138</v>
      </c>
      <c r="E186" s="105"/>
      <c r="F186" s="90">
        <f>F187+F195</f>
        <v>359266842.01624799</v>
      </c>
      <c r="G186" s="90"/>
      <c r="H186" s="90">
        <f>H187+H195</f>
        <v>359266842.01624799</v>
      </c>
      <c r="I186" s="90"/>
      <c r="J186" s="347">
        <f>J187+J195</f>
        <v>359266842.01624799</v>
      </c>
      <c r="K186" s="347">
        <f t="shared" ref="K186:AI186" si="284">K187+K195</f>
        <v>383823640.976556</v>
      </c>
      <c r="L186" s="347">
        <f t="shared" si="284"/>
        <v>501452965.13</v>
      </c>
      <c r="M186" s="347">
        <f t="shared" si="284"/>
        <v>12.31874755083555</v>
      </c>
      <c r="N186" s="347">
        <f t="shared" si="284"/>
        <v>170080011.66</v>
      </c>
      <c r="O186" s="347">
        <f t="shared" si="284"/>
        <v>4.6349580614899661</v>
      </c>
      <c r="P186" s="347">
        <f t="shared" si="284"/>
        <v>282467005.98000002</v>
      </c>
      <c r="Q186" s="347">
        <f t="shared" si="284"/>
        <v>6.8144672279460767</v>
      </c>
      <c r="R186" s="347">
        <f t="shared" si="284"/>
        <v>280602655.98000002</v>
      </c>
      <c r="S186" s="347">
        <f t="shared" si="284"/>
        <v>6.7952361805665467</v>
      </c>
      <c r="T186" s="347">
        <f t="shared" si="284"/>
        <v>94163738.169999987</v>
      </c>
      <c r="U186" s="347">
        <f t="shared" si="284"/>
        <v>0</v>
      </c>
      <c r="V186" s="347">
        <f t="shared" si="284"/>
        <v>26967925.729999997</v>
      </c>
      <c r="W186" s="347">
        <f t="shared" si="284"/>
        <v>4490880.2199999858</v>
      </c>
      <c r="X186" s="347">
        <f t="shared" si="284"/>
        <v>89094.98000000001</v>
      </c>
      <c r="Y186" s="347">
        <f t="shared" si="284"/>
        <v>121042568.92</v>
      </c>
      <c r="Z186" s="347">
        <f t="shared" si="284"/>
        <v>98654618.389999986</v>
      </c>
      <c r="AA186" s="347">
        <f t="shared" si="284"/>
        <v>1552349.04</v>
      </c>
      <c r="AB186" s="347">
        <f t="shared" si="284"/>
        <v>2.7546116734447734E-2</v>
      </c>
      <c r="AC186" s="347">
        <f t="shared" si="284"/>
        <v>121131663.89999999</v>
      </c>
      <c r="AD186" s="347">
        <f t="shared" si="284"/>
        <v>3.8692684460904161</v>
      </c>
      <c r="AE186" s="347">
        <f t="shared" si="284"/>
        <v>2.4612754968797806E-2</v>
      </c>
      <c r="AF186" s="347">
        <f t="shared" si="284"/>
        <v>78664186.036248013</v>
      </c>
      <c r="AG186" s="347">
        <f t="shared" si="284"/>
        <v>3.2047638194334529</v>
      </c>
      <c r="AH186" s="347" t="e">
        <f t="shared" si="284"/>
        <v>#VALUE!</v>
      </c>
      <c r="AI186" s="347">
        <f t="shared" si="284"/>
        <v>402046716.17295605</v>
      </c>
      <c r="AJ186" s="237" t="s">
        <v>408</v>
      </c>
      <c r="AK186" s="347">
        <f t="shared" ref="AK186:AL186" si="285">AK187+AK195</f>
        <v>26135455</v>
      </c>
      <c r="AL186" s="347">
        <f t="shared" si="285"/>
        <v>26135455</v>
      </c>
      <c r="AM186" s="306">
        <f t="shared" si="250"/>
        <v>6.8092353387884094E-2</v>
      </c>
      <c r="AN186" s="242"/>
      <c r="AO186" s="347">
        <f t="shared" si="251"/>
        <v>26135455</v>
      </c>
      <c r="AP186" s="347">
        <f t="shared" ref="AP186:AQ186" si="286">AP187+AP195</f>
        <v>26135455</v>
      </c>
      <c r="AQ186" s="347">
        <f t="shared" si="286"/>
        <v>26135455</v>
      </c>
      <c r="AR186" s="306">
        <f t="shared" si="230"/>
        <v>6.8092353387884094E-2</v>
      </c>
      <c r="AS186" s="92"/>
      <c r="AT186" s="92"/>
      <c r="AU186" s="380">
        <f>AU187+AU195</f>
        <v>4170962.6470588259</v>
      </c>
      <c r="AV186" s="255"/>
      <c r="AW186" s="289"/>
      <c r="AX186" s="245"/>
      <c r="AY186" s="245"/>
    </row>
    <row r="187" spans="1:51" s="80" customFormat="1" ht="135" customHeight="1">
      <c r="A187" s="373" t="s">
        <v>99</v>
      </c>
      <c r="B187" s="64" t="s">
        <v>609</v>
      </c>
      <c r="C187" s="65" t="s">
        <v>56</v>
      </c>
      <c r="D187" s="65" t="s">
        <v>168</v>
      </c>
      <c r="E187" s="105"/>
      <c r="F187" s="90">
        <f>F188+F189+F190+F193+F194</f>
        <v>231383309.82435599</v>
      </c>
      <c r="G187" s="90"/>
      <c r="H187" s="90">
        <f>H188+H189+H190+H193+H194</f>
        <v>231383309.82435599</v>
      </c>
      <c r="I187" s="90"/>
      <c r="J187" s="347">
        <f>J188+J189+J190+J193+J194</f>
        <v>231383309.82435599</v>
      </c>
      <c r="K187" s="347">
        <f t="shared" ref="K187:AI187" si="287">K188+K189+K190+K193+K194</f>
        <v>255940108.78466401</v>
      </c>
      <c r="L187" s="347">
        <f t="shared" si="287"/>
        <v>419944636.06999999</v>
      </c>
      <c r="M187" s="347">
        <f t="shared" si="287"/>
        <v>10.743618466592908</v>
      </c>
      <c r="N187" s="347">
        <f t="shared" si="287"/>
        <v>170038528.68000001</v>
      </c>
      <c r="O187" s="347">
        <f t="shared" si="287"/>
        <v>4.6315578174059739</v>
      </c>
      <c r="P187" s="347">
        <f t="shared" si="287"/>
        <v>201039944.75</v>
      </c>
      <c r="Q187" s="347">
        <f t="shared" si="287"/>
        <v>5.2463094306360656</v>
      </c>
      <c r="R187" s="347">
        <f t="shared" si="287"/>
        <v>201039944.75</v>
      </c>
      <c r="S187" s="347">
        <f t="shared" si="287"/>
        <v>5.2463094306360656</v>
      </c>
      <c r="T187" s="347">
        <f t="shared" si="287"/>
        <v>64261511.709999993</v>
      </c>
      <c r="U187" s="347">
        <f t="shared" si="287"/>
        <v>0</v>
      </c>
      <c r="V187" s="347">
        <f t="shared" si="287"/>
        <v>17675312.579999998</v>
      </c>
      <c r="W187" s="347">
        <f t="shared" si="287"/>
        <v>3894019.979999986</v>
      </c>
      <c r="X187" s="347">
        <f t="shared" si="287"/>
        <v>48896.26</v>
      </c>
      <c r="Y187" s="347">
        <f t="shared" si="287"/>
        <v>81887928.030000001</v>
      </c>
      <c r="Z187" s="347">
        <f t="shared" si="287"/>
        <v>68155531.689999983</v>
      </c>
      <c r="AA187" s="347">
        <f t="shared" si="287"/>
        <v>1552349.04</v>
      </c>
      <c r="AB187" s="347">
        <f t="shared" si="287"/>
        <v>2.7546116734447734E-2</v>
      </c>
      <c r="AC187" s="347">
        <f t="shared" si="287"/>
        <v>81936824.289999992</v>
      </c>
      <c r="AD187" s="347">
        <f t="shared" si="287"/>
        <v>2.7991329727700842</v>
      </c>
      <c r="AE187" s="347">
        <f t="shared" si="287"/>
        <v>1.3677290967297154E-2</v>
      </c>
      <c r="AF187" s="347">
        <f t="shared" si="287"/>
        <v>30343365.074356008</v>
      </c>
      <c r="AG187" s="347">
        <f t="shared" si="287"/>
        <v>0.75369056936393408</v>
      </c>
      <c r="AH187" s="347" t="e">
        <f t="shared" si="287"/>
        <v>#VALUE!</v>
      </c>
      <c r="AI187" s="347">
        <f t="shared" si="287"/>
        <v>271333305.72364801</v>
      </c>
      <c r="AJ187" s="237" t="s">
        <v>408</v>
      </c>
      <c r="AK187" s="347">
        <f>AK188+AK189+AK190+AK193+AK194</f>
        <v>23635455</v>
      </c>
      <c r="AL187" s="347">
        <f t="shared" ref="AL187" si="288">AL188+AL189+AL190+AL193+AL194</f>
        <v>23635455</v>
      </c>
      <c r="AM187" s="306">
        <f t="shared" si="250"/>
        <v>9.2347600820494147E-2</v>
      </c>
      <c r="AN187" s="348"/>
      <c r="AO187" s="347">
        <f t="shared" si="251"/>
        <v>23635455</v>
      </c>
      <c r="AP187" s="347">
        <f>AP188+AP189+AP190+AP193+AP194</f>
        <v>23635455</v>
      </c>
      <c r="AQ187" s="347">
        <f>AQ188+AQ189+AQ190+AQ193+AQ194</f>
        <v>23635455</v>
      </c>
      <c r="AR187" s="306">
        <f t="shared" si="230"/>
        <v>9.2347600820494147E-2</v>
      </c>
      <c r="AS187" s="92"/>
      <c r="AT187" s="92"/>
      <c r="AU187" s="380">
        <f>AU188+AU189+AU190+AU193+AU194</f>
        <v>4170962.6470588259</v>
      </c>
      <c r="AV187" s="253"/>
      <c r="AW187" s="289"/>
      <c r="AX187" s="245"/>
      <c r="AY187" s="245"/>
    </row>
    <row r="188" spans="1:51" s="80" customFormat="1" ht="132" customHeight="1">
      <c r="A188" s="375" t="s">
        <v>229</v>
      </c>
      <c r="B188" s="69" t="s">
        <v>610</v>
      </c>
      <c r="C188" s="70" t="s">
        <v>56</v>
      </c>
      <c r="D188" s="70" t="s">
        <v>168</v>
      </c>
      <c r="E188" s="107">
        <v>198000000</v>
      </c>
      <c r="F188" s="107">
        <f>E188*$E$6</f>
        <v>139155192</v>
      </c>
      <c r="G188" s="107">
        <v>198000000</v>
      </c>
      <c r="H188" s="76">
        <f>G188*$G$6</f>
        <v>139155192</v>
      </c>
      <c r="I188" s="107">
        <v>198000000</v>
      </c>
      <c r="J188" s="348">
        <f>I188*$I$6</f>
        <v>139155192</v>
      </c>
      <c r="K188" s="348">
        <v>163711990.96030802</v>
      </c>
      <c r="L188" s="348">
        <v>245448557.28</v>
      </c>
      <c r="M188" s="125">
        <f t="shared" si="246"/>
        <v>1.763847641990965</v>
      </c>
      <c r="N188" s="348">
        <v>122007501.7</v>
      </c>
      <c r="O188" s="132">
        <f t="shared" si="216"/>
        <v>0.87677290330640345</v>
      </c>
      <c r="P188" s="348">
        <v>123441055.58</v>
      </c>
      <c r="Q188" s="73">
        <f t="shared" si="271"/>
        <v>0.88707473868456166</v>
      </c>
      <c r="R188" s="348">
        <v>123441055.58</v>
      </c>
      <c r="S188" s="73">
        <f t="shared" si="272"/>
        <v>0.88707473868456166</v>
      </c>
      <c r="T188" s="76">
        <v>36338406.159999996</v>
      </c>
      <c r="U188" s="76"/>
      <c r="V188" s="76"/>
      <c r="W188" s="76">
        <v>37193.529999986298</v>
      </c>
      <c r="X188" s="76">
        <v>0</v>
      </c>
      <c r="Y188" s="76">
        <f t="shared" si="282"/>
        <v>36338406.159999996</v>
      </c>
      <c r="Z188" s="348">
        <f t="shared" si="248"/>
        <v>36375599.689999983</v>
      </c>
      <c r="AA188" s="348"/>
      <c r="AB188" s="125"/>
      <c r="AC188" s="113">
        <f t="shared" ref="AC188:AC194" si="289">SUM(T188:V188)</f>
        <v>36338406.159999996</v>
      </c>
      <c r="AD188" s="73">
        <f t="shared" si="273"/>
        <v>0.26113582711308392</v>
      </c>
      <c r="AE188" s="125">
        <v>0</v>
      </c>
      <c r="AF188" s="169">
        <f t="shared" si="283"/>
        <v>15714136.420000002</v>
      </c>
      <c r="AG188" s="177">
        <f t="shared" si="274"/>
        <v>0.1129252613154384</v>
      </c>
      <c r="AH188" s="145" t="s">
        <v>382</v>
      </c>
      <c r="AI188" s="225">
        <v>163711990.96030802</v>
      </c>
      <c r="AJ188" s="238" t="s">
        <v>409</v>
      </c>
      <c r="AK188" s="348">
        <v>0</v>
      </c>
      <c r="AL188" s="348">
        <v>0</v>
      </c>
      <c r="AM188" s="92">
        <f t="shared" si="250"/>
        <v>0</v>
      </c>
      <c r="AN188" s="177" t="s">
        <v>408</v>
      </c>
      <c r="AO188" s="348">
        <v>0</v>
      </c>
      <c r="AP188" s="302"/>
      <c r="AQ188" s="302"/>
      <c r="AR188" s="92">
        <f t="shared" si="230"/>
        <v>0</v>
      </c>
      <c r="AS188" s="302"/>
      <c r="AT188" s="302"/>
      <c r="AU188" s="382">
        <v>0</v>
      </c>
      <c r="AV188" s="253"/>
      <c r="AW188" s="289"/>
      <c r="AX188" s="245"/>
      <c r="AY188" s="245"/>
    </row>
    <row r="189" spans="1:51" s="94" customFormat="1" ht="244.5" customHeight="1">
      <c r="A189" s="377" t="s">
        <v>304</v>
      </c>
      <c r="B189" s="345" t="s">
        <v>611</v>
      </c>
      <c r="C189" s="178" t="s">
        <v>56</v>
      </c>
      <c r="D189" s="178" t="s">
        <v>168</v>
      </c>
      <c r="E189" s="202">
        <v>80185302</v>
      </c>
      <c r="F189" s="202">
        <f>E189*$E$6</f>
        <v>56354550.986808002</v>
      </c>
      <c r="G189" s="202">
        <v>80185302</v>
      </c>
      <c r="H189" s="182">
        <f>G189*$G$6</f>
        <v>56354550.986808002</v>
      </c>
      <c r="I189" s="202">
        <v>80185302</v>
      </c>
      <c r="J189" s="349">
        <f>I189*$I$6</f>
        <v>56354550.986808002</v>
      </c>
      <c r="K189" s="349">
        <v>56354550.986808002</v>
      </c>
      <c r="L189" s="349">
        <v>106645022.86</v>
      </c>
      <c r="M189" s="179">
        <f t="shared" si="246"/>
        <v>1.8923941543774248</v>
      </c>
      <c r="N189" s="349">
        <v>12242709.17</v>
      </c>
      <c r="O189" s="180">
        <f t="shared" si="216"/>
        <v>0.21724437433395374</v>
      </c>
      <c r="P189" s="349">
        <v>45519272.689999998</v>
      </c>
      <c r="Q189" s="181">
        <f t="shared" si="271"/>
        <v>0.80773019912190536</v>
      </c>
      <c r="R189" s="349">
        <v>45519272.689999998</v>
      </c>
      <c r="S189" s="181">
        <f t="shared" si="272"/>
        <v>0.80773019912190536</v>
      </c>
      <c r="T189" s="182">
        <v>19147626.649999999</v>
      </c>
      <c r="U189" s="182"/>
      <c r="V189" s="182">
        <v>12014219.32</v>
      </c>
      <c r="W189" s="182">
        <v>2325365.5499999998</v>
      </c>
      <c r="X189" s="182">
        <v>25873.79</v>
      </c>
      <c r="Y189" s="182">
        <f t="shared" si="282"/>
        <v>31135972.18</v>
      </c>
      <c r="Z189" s="349">
        <f t="shared" si="248"/>
        <v>21472992.199999999</v>
      </c>
      <c r="AA189" s="349">
        <v>1552349.04</v>
      </c>
      <c r="AB189" s="196">
        <f>AA189/J189</f>
        <v>2.7546116734447734E-2</v>
      </c>
      <c r="AC189" s="199">
        <f t="shared" si="289"/>
        <v>31161845.969999999</v>
      </c>
      <c r="AD189" s="181">
        <f t="shared" si="273"/>
        <v>0.55296059367582673</v>
      </c>
      <c r="AE189" s="179">
        <v>9.5497322742168506E-3</v>
      </c>
      <c r="AF189" s="185">
        <f t="shared" si="283"/>
        <v>10835278.296808004</v>
      </c>
      <c r="AG189" s="186">
        <f t="shared" si="274"/>
        <v>0.19226980087809462</v>
      </c>
      <c r="AH189" s="187" t="s">
        <v>383</v>
      </c>
      <c r="AI189" s="224">
        <v>65417117.905092001</v>
      </c>
      <c r="AJ189" s="239" t="s">
        <v>408</v>
      </c>
      <c r="AK189" s="349">
        <v>23635455</v>
      </c>
      <c r="AL189" s="349">
        <v>23635455</v>
      </c>
      <c r="AM189" s="207">
        <f t="shared" si="250"/>
        <v>0.41940632275701756</v>
      </c>
      <c r="AN189" s="186" t="s">
        <v>408</v>
      </c>
      <c r="AO189" s="349">
        <v>23635455.098680802</v>
      </c>
      <c r="AP189" s="349">
        <v>23635455</v>
      </c>
      <c r="AQ189" s="349">
        <v>23635455</v>
      </c>
      <c r="AR189" s="207">
        <f t="shared" si="230"/>
        <v>0.41940632275701756</v>
      </c>
      <c r="AS189" s="319" t="s">
        <v>433</v>
      </c>
      <c r="AT189" s="269" t="s">
        <v>725</v>
      </c>
      <c r="AU189" s="378">
        <f>AL189/0.85-AL189</f>
        <v>4170962.6470588259</v>
      </c>
      <c r="AV189" s="256"/>
      <c r="AW189" s="289"/>
    </row>
    <row r="190" spans="1:51" s="80" customFormat="1" ht="123" customHeight="1">
      <c r="A190" s="381" t="s">
        <v>305</v>
      </c>
      <c r="B190" s="74" t="s">
        <v>612</v>
      </c>
      <c r="C190" s="75" t="s">
        <v>56</v>
      </c>
      <c r="D190" s="75" t="s">
        <v>168</v>
      </c>
      <c r="E190" s="106"/>
      <c r="F190" s="104">
        <f>F191+F192</f>
        <v>18343908.288119998</v>
      </c>
      <c r="G190" s="91"/>
      <c r="H190" s="91">
        <f>H191+H192</f>
        <v>18343908.288119998</v>
      </c>
      <c r="I190" s="91"/>
      <c r="J190" s="348">
        <f>J191+J192</f>
        <v>18343908.288119998</v>
      </c>
      <c r="K190" s="348">
        <f>K191+K192</f>
        <v>18343908.288119998</v>
      </c>
      <c r="L190" s="348">
        <f t="shared" ref="L190:AI190" si="290">L191+L192</f>
        <v>50321398.390000001</v>
      </c>
      <c r="M190" s="348">
        <f t="shared" si="290"/>
        <v>5.0873769304821126</v>
      </c>
      <c r="N190" s="348">
        <f t="shared" si="290"/>
        <v>35788317.810000002</v>
      </c>
      <c r="O190" s="348">
        <f t="shared" si="290"/>
        <v>3.5375405397656166</v>
      </c>
      <c r="P190" s="348">
        <f t="shared" si="290"/>
        <v>14549958.939999999</v>
      </c>
      <c r="Q190" s="348">
        <f t="shared" si="290"/>
        <v>1.5515047530871939</v>
      </c>
      <c r="R190" s="348">
        <f t="shared" si="290"/>
        <v>14549958.939999999</v>
      </c>
      <c r="S190" s="348">
        <f t="shared" si="290"/>
        <v>1.5515047530871939</v>
      </c>
      <c r="T190" s="348">
        <f t="shared" si="290"/>
        <v>5240380.4800000004</v>
      </c>
      <c r="U190" s="348">
        <f t="shared" si="290"/>
        <v>0</v>
      </c>
      <c r="V190" s="348">
        <f t="shared" si="290"/>
        <v>2162881.29</v>
      </c>
      <c r="W190" s="348">
        <f t="shared" si="290"/>
        <v>1531460.9</v>
      </c>
      <c r="X190" s="348">
        <f t="shared" si="290"/>
        <v>23022.47</v>
      </c>
      <c r="Y190" s="348">
        <f t="shared" si="290"/>
        <v>7380239.3000000007</v>
      </c>
      <c r="Z190" s="348">
        <f t="shared" si="290"/>
        <v>6771841.3800000008</v>
      </c>
      <c r="AA190" s="348">
        <f t="shared" si="290"/>
        <v>0</v>
      </c>
      <c r="AB190" s="348">
        <f t="shared" si="290"/>
        <v>0</v>
      </c>
      <c r="AC190" s="348">
        <f t="shared" si="290"/>
        <v>7403261.7700000005</v>
      </c>
      <c r="AD190" s="348">
        <f t="shared" si="290"/>
        <v>0.73178456659826874</v>
      </c>
      <c r="AE190" s="348">
        <f t="shared" si="290"/>
        <v>4.1275586930803023E-3</v>
      </c>
      <c r="AF190" s="348">
        <f t="shared" si="290"/>
        <v>3793949.3481199993</v>
      </c>
      <c r="AG190" s="348">
        <f t="shared" si="290"/>
        <v>0.44849524691280618</v>
      </c>
      <c r="AH190" s="348" t="e">
        <f t="shared" si="290"/>
        <v>#VALUE!</v>
      </c>
      <c r="AI190" s="348">
        <f t="shared" si="290"/>
        <v>21581068.491576001</v>
      </c>
      <c r="AJ190" s="238" t="s">
        <v>409</v>
      </c>
      <c r="AK190" s="348">
        <f>AK191+AK192</f>
        <v>0</v>
      </c>
      <c r="AL190" s="348">
        <f>AL191+AL192</f>
        <v>0</v>
      </c>
      <c r="AM190" s="92">
        <f t="shared" si="250"/>
        <v>0</v>
      </c>
      <c r="AN190" s="348"/>
      <c r="AO190" s="348">
        <f>AL190</f>
        <v>0</v>
      </c>
      <c r="AP190" s="92"/>
      <c r="AQ190" s="92"/>
      <c r="AR190" s="92">
        <f t="shared" si="230"/>
        <v>0</v>
      </c>
      <c r="AS190" s="92"/>
      <c r="AT190" s="92"/>
      <c r="AU190" s="382">
        <f>AU191+AU192</f>
        <v>0</v>
      </c>
      <c r="AV190" s="253"/>
      <c r="AW190" s="289"/>
      <c r="AX190" s="245"/>
      <c r="AY190" s="245"/>
    </row>
    <row r="191" spans="1:51" s="80" customFormat="1" ht="218.45" customHeight="1">
      <c r="A191" s="375" t="s">
        <v>306</v>
      </c>
      <c r="B191" s="69" t="s">
        <v>613</v>
      </c>
      <c r="C191" s="70" t="s">
        <v>56</v>
      </c>
      <c r="D191" s="70" t="s">
        <v>168</v>
      </c>
      <c r="E191" s="107">
        <v>14394800</v>
      </c>
      <c r="F191" s="107">
        <f>E191*$E$6</f>
        <v>10116723.019199999</v>
      </c>
      <c r="G191" s="107">
        <v>14394800</v>
      </c>
      <c r="H191" s="76">
        <f>G191*$G$6</f>
        <v>10116723.019199999</v>
      </c>
      <c r="I191" s="107">
        <v>14394800</v>
      </c>
      <c r="J191" s="348">
        <f>I191*$I$6</f>
        <v>10116723.019199999</v>
      </c>
      <c r="K191" s="348">
        <v>10116723.019199999</v>
      </c>
      <c r="L191" s="348">
        <v>45330825.640000001</v>
      </c>
      <c r="M191" s="125">
        <f t="shared" si="246"/>
        <v>4.4807815291541537</v>
      </c>
      <c r="N191" s="348">
        <v>35788317.810000002</v>
      </c>
      <c r="O191" s="132">
        <f t="shared" si="216"/>
        <v>3.5375405397656166</v>
      </c>
      <c r="P191" s="348">
        <v>9559386.1899999995</v>
      </c>
      <c r="Q191" s="73">
        <f t="shared" si="271"/>
        <v>0.94490935175923474</v>
      </c>
      <c r="R191" s="348">
        <v>9559386.1899999995</v>
      </c>
      <c r="S191" s="73">
        <f t="shared" si="272"/>
        <v>0.94490935175923474</v>
      </c>
      <c r="T191" s="76">
        <v>5240380.4800000004</v>
      </c>
      <c r="U191" s="76"/>
      <c r="V191" s="76">
        <v>2162881.29</v>
      </c>
      <c r="W191" s="76">
        <v>1531460.9</v>
      </c>
      <c r="X191" s="76">
        <v>23022.47</v>
      </c>
      <c r="Y191" s="76">
        <f t="shared" si="282"/>
        <v>7380239.3000000007</v>
      </c>
      <c r="Z191" s="348">
        <f t="shared" si="248"/>
        <v>6771841.3800000008</v>
      </c>
      <c r="AA191" s="348"/>
      <c r="AB191" s="125"/>
      <c r="AC191" s="113">
        <f t="shared" si="289"/>
        <v>7403261.7700000005</v>
      </c>
      <c r="AD191" s="73">
        <f t="shared" si="273"/>
        <v>0.73178456659826874</v>
      </c>
      <c r="AE191" s="125">
        <v>4.1275586930803023E-3</v>
      </c>
      <c r="AF191" s="169">
        <f t="shared" si="283"/>
        <v>557336.82919999957</v>
      </c>
      <c r="AG191" s="177">
        <f t="shared" si="274"/>
        <v>5.5090648240765233E-2</v>
      </c>
      <c r="AH191" s="145" t="s">
        <v>415</v>
      </c>
      <c r="AI191" s="225">
        <v>11902027.205435999</v>
      </c>
      <c r="AJ191" s="238" t="s">
        <v>409</v>
      </c>
      <c r="AK191" s="348">
        <v>0</v>
      </c>
      <c r="AL191" s="348">
        <v>0</v>
      </c>
      <c r="AM191" s="92">
        <f t="shared" si="250"/>
        <v>0</v>
      </c>
      <c r="AN191" s="125" t="s">
        <v>408</v>
      </c>
      <c r="AO191" s="348">
        <v>0</v>
      </c>
      <c r="AP191" s="302"/>
      <c r="AQ191" s="302"/>
      <c r="AR191" s="92">
        <f t="shared" si="230"/>
        <v>0</v>
      </c>
      <c r="AS191" s="302"/>
      <c r="AT191" s="302"/>
      <c r="AU191" s="382">
        <f>AL191/0.85-AL191</f>
        <v>0</v>
      </c>
      <c r="AV191" s="256"/>
      <c r="AW191" s="289"/>
    </row>
    <row r="192" spans="1:51" s="80" customFormat="1" ht="171.6" customHeight="1">
      <c r="A192" s="375" t="s">
        <v>100</v>
      </c>
      <c r="B192" s="69" t="s">
        <v>614</v>
      </c>
      <c r="C192" s="70" t="s">
        <v>56</v>
      </c>
      <c r="D192" s="70" t="s">
        <v>168</v>
      </c>
      <c r="E192" s="104">
        <v>11706230</v>
      </c>
      <c r="F192" s="104">
        <f>E192*$E$6</f>
        <v>8227185.2689199997</v>
      </c>
      <c r="G192" s="79">
        <v>11706230</v>
      </c>
      <c r="H192" s="79">
        <f>G192*$G$6</f>
        <v>8227185.2689199997</v>
      </c>
      <c r="I192" s="104">
        <v>11706230</v>
      </c>
      <c r="J192" s="348">
        <f>I192*$I$6</f>
        <v>8227185.2689199997</v>
      </c>
      <c r="K192" s="348">
        <v>8227185.2689199997</v>
      </c>
      <c r="L192" s="348">
        <v>4990572.75</v>
      </c>
      <c r="M192" s="125">
        <f t="shared" si="246"/>
        <v>0.60659540132795908</v>
      </c>
      <c r="N192" s="348"/>
      <c r="O192" s="127">
        <f t="shared" si="216"/>
        <v>0</v>
      </c>
      <c r="P192" s="348">
        <v>4990572.75</v>
      </c>
      <c r="Q192" s="73">
        <f t="shared" si="271"/>
        <v>0.60659540132795908</v>
      </c>
      <c r="R192" s="348">
        <v>4990572.75</v>
      </c>
      <c r="S192" s="73">
        <f t="shared" si="272"/>
        <v>0.60659540132795908</v>
      </c>
      <c r="T192" s="76">
        <v>0</v>
      </c>
      <c r="U192" s="76">
        <v>0</v>
      </c>
      <c r="V192" s="76">
        <v>0</v>
      </c>
      <c r="W192" s="76">
        <v>0</v>
      </c>
      <c r="X192" s="76">
        <v>0</v>
      </c>
      <c r="Y192" s="76">
        <f>AC192-X192</f>
        <v>0</v>
      </c>
      <c r="Z192" s="348">
        <f>T192+U192+W192</f>
        <v>0</v>
      </c>
      <c r="AA192" s="348"/>
      <c r="AB192" s="125"/>
      <c r="AC192" s="111">
        <f t="shared" si="289"/>
        <v>0</v>
      </c>
      <c r="AD192" s="73">
        <f t="shared" si="273"/>
        <v>0</v>
      </c>
      <c r="AE192" s="125"/>
      <c r="AF192" s="166">
        <f t="shared" si="283"/>
        <v>3236612.5189199997</v>
      </c>
      <c r="AG192" s="167">
        <f t="shared" si="274"/>
        <v>0.39340459867204092</v>
      </c>
      <c r="AH192" s="145" t="s">
        <v>384</v>
      </c>
      <c r="AI192" s="225">
        <v>9679041.2861400004</v>
      </c>
      <c r="AJ192" s="238" t="s">
        <v>409</v>
      </c>
      <c r="AK192" s="348">
        <v>0</v>
      </c>
      <c r="AL192" s="348">
        <v>0</v>
      </c>
      <c r="AM192" s="92">
        <f t="shared" si="250"/>
        <v>0</v>
      </c>
      <c r="AN192" s="348"/>
      <c r="AO192" s="348">
        <f t="shared" ref="AO192:AO223" si="291">AL192</f>
        <v>0</v>
      </c>
      <c r="AP192" s="92"/>
      <c r="AQ192" s="92"/>
      <c r="AR192" s="92">
        <f t="shared" si="230"/>
        <v>0</v>
      </c>
      <c r="AS192" s="92"/>
      <c r="AT192" s="92"/>
      <c r="AU192" s="398"/>
      <c r="AV192" s="256"/>
      <c r="AW192" s="289"/>
    </row>
    <row r="193" spans="1:51" s="80" customFormat="1" ht="33.6" customHeight="1">
      <c r="A193" s="375" t="s">
        <v>307</v>
      </c>
      <c r="B193" s="69" t="s">
        <v>615</v>
      </c>
      <c r="C193" s="70" t="s">
        <v>56</v>
      </c>
      <c r="D193" s="70" t="s">
        <v>168</v>
      </c>
      <c r="E193" s="104">
        <v>4942457</v>
      </c>
      <c r="F193" s="104">
        <f>E193*$E$6</f>
        <v>3473578.5494280001</v>
      </c>
      <c r="G193" s="104">
        <v>4942457</v>
      </c>
      <c r="H193" s="79">
        <f>G193*$G$6</f>
        <v>3473578.5494280001</v>
      </c>
      <c r="I193" s="104">
        <v>4942457</v>
      </c>
      <c r="J193" s="348">
        <f>I193*$I$6</f>
        <v>3473578.5494280001</v>
      </c>
      <c r="K193" s="348">
        <v>3473578.5494280001</v>
      </c>
      <c r="L193" s="348">
        <v>3473577.68</v>
      </c>
      <c r="M193" s="125">
        <f t="shared" si="246"/>
        <v>0.99999974970250782</v>
      </c>
      <c r="N193" s="348"/>
      <c r="O193" s="127">
        <f t="shared" si="216"/>
        <v>0</v>
      </c>
      <c r="P193" s="348">
        <v>3473577.68</v>
      </c>
      <c r="Q193" s="73">
        <f t="shared" si="271"/>
        <v>0.99999974970250782</v>
      </c>
      <c r="R193" s="348">
        <v>3473577.68</v>
      </c>
      <c r="S193" s="73">
        <f t="shared" si="272"/>
        <v>0.99999974970250782</v>
      </c>
      <c r="T193" s="76">
        <v>3473578</v>
      </c>
      <c r="U193" s="76">
        <v>0</v>
      </c>
      <c r="V193" s="76">
        <v>0</v>
      </c>
      <c r="W193" s="76">
        <v>0</v>
      </c>
      <c r="X193" s="76">
        <v>0</v>
      </c>
      <c r="Y193" s="76">
        <f>AC193-X193</f>
        <v>3473578</v>
      </c>
      <c r="Z193" s="348">
        <f>T193+U193+W193</f>
        <v>3473578</v>
      </c>
      <c r="AA193" s="348"/>
      <c r="AB193" s="125"/>
      <c r="AC193" s="111">
        <f t="shared" si="289"/>
        <v>3473578</v>
      </c>
      <c r="AD193" s="73">
        <f t="shared" si="273"/>
        <v>0.99999984182652202</v>
      </c>
      <c r="AE193" s="125">
        <v>0</v>
      </c>
      <c r="AF193" s="166">
        <f t="shared" si="283"/>
        <v>0.86942799994722009</v>
      </c>
      <c r="AG193" s="167">
        <f t="shared" si="274"/>
        <v>2.5029749221890785E-7</v>
      </c>
      <c r="AH193" s="145" t="s">
        <v>429</v>
      </c>
      <c r="AI193" s="225">
        <v>4086563.4954240001</v>
      </c>
      <c r="AJ193" s="238" t="s">
        <v>409</v>
      </c>
      <c r="AK193" s="348">
        <v>0</v>
      </c>
      <c r="AL193" s="348">
        <v>0</v>
      </c>
      <c r="AM193" s="92">
        <f t="shared" si="250"/>
        <v>0</v>
      </c>
      <c r="AN193" s="348"/>
      <c r="AO193" s="348">
        <f t="shared" si="291"/>
        <v>0</v>
      </c>
      <c r="AP193" s="92"/>
      <c r="AQ193" s="92"/>
      <c r="AR193" s="92">
        <f t="shared" si="230"/>
        <v>0</v>
      </c>
      <c r="AS193" s="92"/>
      <c r="AT193" s="92"/>
      <c r="AU193" s="382"/>
      <c r="AV193" s="256"/>
      <c r="AW193" s="289"/>
    </row>
    <row r="194" spans="1:51" s="94" customFormat="1" ht="50.45" customHeight="1">
      <c r="A194" s="375" t="s">
        <v>101</v>
      </c>
      <c r="B194" s="69" t="s">
        <v>616</v>
      </c>
      <c r="C194" s="70" t="s">
        <v>56</v>
      </c>
      <c r="D194" s="70" t="s">
        <v>168</v>
      </c>
      <c r="E194" s="104">
        <v>20000000</v>
      </c>
      <c r="F194" s="104">
        <f>E194*$E$6</f>
        <v>14056080</v>
      </c>
      <c r="G194" s="79">
        <v>20000000</v>
      </c>
      <c r="H194" s="79">
        <f>G194*$G$6</f>
        <v>14056080</v>
      </c>
      <c r="I194" s="104">
        <v>20000000</v>
      </c>
      <c r="J194" s="348">
        <f>I194*$I$6</f>
        <v>14056080</v>
      </c>
      <c r="K194" s="348">
        <v>14056080</v>
      </c>
      <c r="L194" s="348">
        <v>14056079.859999999</v>
      </c>
      <c r="M194" s="125">
        <f t="shared" si="246"/>
        <v>0.99999999003989726</v>
      </c>
      <c r="N194" s="348"/>
      <c r="O194" s="127">
        <f t="shared" si="216"/>
        <v>0</v>
      </c>
      <c r="P194" s="348">
        <v>14056079.859999999</v>
      </c>
      <c r="Q194" s="73">
        <f t="shared" si="271"/>
        <v>0.99999999003989726</v>
      </c>
      <c r="R194" s="348">
        <v>14056079.859999999</v>
      </c>
      <c r="S194" s="73">
        <f t="shared" si="272"/>
        <v>0.99999999003989726</v>
      </c>
      <c r="T194" s="76">
        <v>61520.42</v>
      </c>
      <c r="U194" s="76"/>
      <c r="V194" s="76">
        <v>3498211.97</v>
      </c>
      <c r="W194" s="76">
        <v>0</v>
      </c>
      <c r="X194" s="76">
        <v>0</v>
      </c>
      <c r="Y194" s="76">
        <f>AC194-X194</f>
        <v>3559732.39</v>
      </c>
      <c r="Z194" s="348">
        <f>T194+U194+W194</f>
        <v>61520.42</v>
      </c>
      <c r="AA194" s="348"/>
      <c r="AB194" s="125"/>
      <c r="AC194" s="111">
        <f t="shared" si="289"/>
        <v>3559732.39</v>
      </c>
      <c r="AD194" s="73">
        <f t="shared" si="273"/>
        <v>0.2532521435563827</v>
      </c>
      <c r="AE194" s="125">
        <v>0</v>
      </c>
      <c r="AF194" s="166">
        <f t="shared" si="283"/>
        <v>0.14000000059604645</v>
      </c>
      <c r="AG194" s="167">
        <f t="shared" si="274"/>
        <v>9.9601027168347393E-9</v>
      </c>
      <c r="AH194" s="92"/>
      <c r="AI194" s="348">
        <v>16536564.871247999</v>
      </c>
      <c r="AJ194" s="238" t="s">
        <v>409</v>
      </c>
      <c r="AK194" s="348">
        <v>0</v>
      </c>
      <c r="AL194" s="348">
        <v>0</v>
      </c>
      <c r="AM194" s="92">
        <f t="shared" si="250"/>
        <v>0</v>
      </c>
      <c r="AN194" s="348"/>
      <c r="AO194" s="348">
        <f t="shared" si="291"/>
        <v>0</v>
      </c>
      <c r="AP194" s="92"/>
      <c r="AQ194" s="92"/>
      <c r="AR194" s="92">
        <f t="shared" si="230"/>
        <v>0</v>
      </c>
      <c r="AS194" s="92"/>
      <c r="AT194" s="92"/>
      <c r="AU194" s="382"/>
      <c r="AV194" s="255"/>
      <c r="AW194" s="289"/>
    </row>
    <row r="195" spans="1:51" s="94" customFormat="1" ht="76.5" customHeight="1">
      <c r="A195" s="373" t="s">
        <v>102</v>
      </c>
      <c r="B195" s="64" t="s">
        <v>617</v>
      </c>
      <c r="C195" s="65" t="s">
        <v>56</v>
      </c>
      <c r="D195" s="65" t="s">
        <v>138</v>
      </c>
      <c r="E195" s="105"/>
      <c r="F195" s="90">
        <f>F196+F199+F200+F201</f>
        <v>127883532.19189201</v>
      </c>
      <c r="G195" s="90"/>
      <c r="H195" s="90">
        <f>H196+H199+H200+H201</f>
        <v>127883532.19189201</v>
      </c>
      <c r="I195" s="90"/>
      <c r="J195" s="347">
        <f>J196+J199+J200+J201</f>
        <v>127883532.19189201</v>
      </c>
      <c r="K195" s="347">
        <f t="shared" ref="K195:AI195" si="292">K196+K199+K200+K201</f>
        <v>127883532.19189201</v>
      </c>
      <c r="L195" s="347">
        <f t="shared" si="292"/>
        <v>81508329.060000002</v>
      </c>
      <c r="M195" s="347">
        <f t="shared" si="292"/>
        <v>1.5751290842426409</v>
      </c>
      <c r="N195" s="347">
        <f t="shared" si="292"/>
        <v>41482.980000000003</v>
      </c>
      <c r="O195" s="347">
        <f t="shared" si="292"/>
        <v>3.4002440839918566E-3</v>
      </c>
      <c r="P195" s="347">
        <f t="shared" si="292"/>
        <v>81427061.230000004</v>
      </c>
      <c r="Q195" s="347">
        <f t="shared" si="292"/>
        <v>1.5681577973100111</v>
      </c>
      <c r="R195" s="347">
        <f t="shared" si="292"/>
        <v>79562711.230000004</v>
      </c>
      <c r="S195" s="347">
        <f t="shared" si="292"/>
        <v>1.5489267499304811</v>
      </c>
      <c r="T195" s="347">
        <f t="shared" si="292"/>
        <v>29902226.460000001</v>
      </c>
      <c r="U195" s="347">
        <f t="shared" si="292"/>
        <v>0</v>
      </c>
      <c r="V195" s="347">
        <f t="shared" si="292"/>
        <v>9292613.1500000004</v>
      </c>
      <c r="W195" s="347">
        <f t="shared" si="292"/>
        <v>596860.24</v>
      </c>
      <c r="X195" s="347">
        <f t="shared" si="292"/>
        <v>40198.720000000001</v>
      </c>
      <c r="Y195" s="347">
        <f t="shared" si="292"/>
        <v>39154640.890000001</v>
      </c>
      <c r="Z195" s="347">
        <f t="shared" si="292"/>
        <v>30499086.699999999</v>
      </c>
      <c r="AA195" s="347">
        <f t="shared" si="292"/>
        <v>0</v>
      </c>
      <c r="AB195" s="347">
        <f t="shared" si="292"/>
        <v>0</v>
      </c>
      <c r="AC195" s="347">
        <f t="shared" si="292"/>
        <v>39194839.609999999</v>
      </c>
      <c r="AD195" s="347">
        <f t="shared" si="292"/>
        <v>1.0701354733203319</v>
      </c>
      <c r="AE195" s="347">
        <f t="shared" si="292"/>
        <v>1.0935464001500653E-2</v>
      </c>
      <c r="AF195" s="347">
        <f t="shared" si="292"/>
        <v>48320820.961892001</v>
      </c>
      <c r="AG195" s="347">
        <f t="shared" si="292"/>
        <v>2.4510732500695189</v>
      </c>
      <c r="AH195" s="347" t="e">
        <f t="shared" si="292"/>
        <v>#VALUE!</v>
      </c>
      <c r="AI195" s="347">
        <f t="shared" si="292"/>
        <v>130713410.44930802</v>
      </c>
      <c r="AJ195" s="237" t="s">
        <v>409</v>
      </c>
      <c r="AK195" s="347">
        <f>AK196+AK199+AK200+AK201</f>
        <v>2500000</v>
      </c>
      <c r="AL195" s="347">
        <f t="shared" ref="AL195" si="293">AL196+AL199+AL200+AL201</f>
        <v>2500000</v>
      </c>
      <c r="AM195" s="306">
        <f t="shared" si="250"/>
        <v>1.9549037762334371E-2</v>
      </c>
      <c r="AN195" s="348"/>
      <c r="AO195" s="347">
        <f t="shared" si="291"/>
        <v>2500000</v>
      </c>
      <c r="AP195" s="347">
        <f>AP196+AP199+AP200+AP201</f>
        <v>2500000</v>
      </c>
      <c r="AQ195" s="347">
        <f>AQ196+AQ199+AQ200+AQ201</f>
        <v>2500000</v>
      </c>
      <c r="AR195" s="306">
        <f t="shared" si="230"/>
        <v>1.9549037762334371E-2</v>
      </c>
      <c r="AS195" s="92"/>
      <c r="AT195" s="92"/>
      <c r="AU195" s="380"/>
      <c r="AV195" s="256"/>
      <c r="AW195" s="289"/>
    </row>
    <row r="196" spans="1:51" s="80" customFormat="1" ht="61.5" customHeight="1">
      <c r="A196" s="381" t="s">
        <v>103</v>
      </c>
      <c r="B196" s="74" t="s">
        <v>618</v>
      </c>
      <c r="C196" s="75" t="s">
        <v>56</v>
      </c>
      <c r="D196" s="75" t="s">
        <v>1</v>
      </c>
      <c r="E196" s="106"/>
      <c r="F196" s="91">
        <f>F197+F198</f>
        <v>109144798.45582801</v>
      </c>
      <c r="G196" s="91"/>
      <c r="H196" s="91">
        <f>H197+H198</f>
        <v>109144798.45582801</v>
      </c>
      <c r="I196" s="91"/>
      <c r="J196" s="348">
        <f>J197+J198</f>
        <v>109144798.45582801</v>
      </c>
      <c r="K196" s="348">
        <f t="shared" ref="K196:AI196" si="294">K197+K198</f>
        <v>109144798.45582801</v>
      </c>
      <c r="L196" s="348">
        <f t="shared" si="294"/>
        <v>81508329.060000002</v>
      </c>
      <c r="M196" s="348">
        <f t="shared" si="294"/>
        <v>1.5751290842426409</v>
      </c>
      <c r="N196" s="348">
        <f t="shared" si="294"/>
        <v>41482.980000000003</v>
      </c>
      <c r="O196" s="348">
        <f t="shared" si="294"/>
        <v>3.4002440839918566E-3</v>
      </c>
      <c r="P196" s="348">
        <f t="shared" si="294"/>
        <v>81427061.230000004</v>
      </c>
      <c r="Q196" s="348">
        <f t="shared" si="294"/>
        <v>1.5681577973100111</v>
      </c>
      <c r="R196" s="348">
        <f t="shared" si="294"/>
        <v>79562711.230000004</v>
      </c>
      <c r="S196" s="348">
        <f t="shared" si="294"/>
        <v>1.5489267499304811</v>
      </c>
      <c r="T196" s="348">
        <f t="shared" si="294"/>
        <v>29902226.460000001</v>
      </c>
      <c r="U196" s="348">
        <f t="shared" si="294"/>
        <v>0</v>
      </c>
      <c r="V196" s="348">
        <f t="shared" si="294"/>
        <v>9292613.1500000004</v>
      </c>
      <c r="W196" s="348">
        <f t="shared" si="294"/>
        <v>596860.24</v>
      </c>
      <c r="X196" s="348">
        <f t="shared" si="294"/>
        <v>40198.720000000001</v>
      </c>
      <c r="Y196" s="348">
        <f t="shared" si="294"/>
        <v>39154640.890000001</v>
      </c>
      <c r="Z196" s="348">
        <f t="shared" si="294"/>
        <v>30499086.699999999</v>
      </c>
      <c r="AA196" s="348">
        <f t="shared" si="294"/>
        <v>0</v>
      </c>
      <c r="AB196" s="348">
        <f t="shared" si="294"/>
        <v>0</v>
      </c>
      <c r="AC196" s="348">
        <f t="shared" si="294"/>
        <v>39194839.609999999</v>
      </c>
      <c r="AD196" s="348">
        <f t="shared" si="294"/>
        <v>1.0701354733203319</v>
      </c>
      <c r="AE196" s="348">
        <f t="shared" si="294"/>
        <v>1.0935464001500653E-2</v>
      </c>
      <c r="AF196" s="348">
        <f t="shared" si="294"/>
        <v>29582087.225827999</v>
      </c>
      <c r="AG196" s="348">
        <f t="shared" si="294"/>
        <v>0.45107325006951893</v>
      </c>
      <c r="AH196" s="348" t="e">
        <f t="shared" si="294"/>
        <v>#VALUE!</v>
      </c>
      <c r="AI196" s="348">
        <f t="shared" si="294"/>
        <v>109144798.45582801</v>
      </c>
      <c r="AJ196" s="238" t="s">
        <v>409</v>
      </c>
      <c r="AK196" s="348">
        <f>AK197+AK198</f>
        <v>2500000</v>
      </c>
      <c r="AL196" s="348">
        <f t="shared" ref="AL196" si="295">AL197+AL198</f>
        <v>2500000</v>
      </c>
      <c r="AM196" s="92">
        <f t="shared" si="250"/>
        <v>2.2905351747126775E-2</v>
      </c>
      <c r="AN196" s="348"/>
      <c r="AO196" s="348">
        <f t="shared" si="291"/>
        <v>2500000</v>
      </c>
      <c r="AP196" s="348">
        <f>AP197+AP198</f>
        <v>2500000</v>
      </c>
      <c r="AQ196" s="348">
        <f>AQ197+AQ198</f>
        <v>2500000</v>
      </c>
      <c r="AR196" s="92">
        <f t="shared" si="230"/>
        <v>2.2905351747126775E-2</v>
      </c>
      <c r="AS196" s="92"/>
      <c r="AT196" s="92"/>
      <c r="AU196" s="382"/>
      <c r="AV196" s="256"/>
      <c r="AW196" s="289"/>
    </row>
    <row r="197" spans="1:51" s="80" customFormat="1" ht="72.75" customHeight="1">
      <c r="A197" s="377" t="s">
        <v>208</v>
      </c>
      <c r="B197" s="345" t="s">
        <v>619</v>
      </c>
      <c r="C197" s="178" t="s">
        <v>56</v>
      </c>
      <c r="D197" s="178" t="s">
        <v>687</v>
      </c>
      <c r="E197" s="202">
        <v>137940020</v>
      </c>
      <c r="F197" s="349">
        <f>E197*$E$6</f>
        <v>96944797.816080004</v>
      </c>
      <c r="G197" s="202">
        <v>137940020</v>
      </c>
      <c r="H197" s="182">
        <f>G197*$G$6</f>
        <v>96944797.816080004</v>
      </c>
      <c r="I197" s="202">
        <v>137940020</v>
      </c>
      <c r="J197" s="349">
        <f>I197*$I$6</f>
        <v>96944797.816080004</v>
      </c>
      <c r="K197" s="349">
        <v>96944797.816080004</v>
      </c>
      <c r="L197" s="349">
        <v>71259376.659999996</v>
      </c>
      <c r="M197" s="179">
        <f t="shared" si="246"/>
        <v>0.7350510627211847</v>
      </c>
      <c r="N197" s="349"/>
      <c r="O197" s="180">
        <f t="shared" si="216"/>
        <v>0</v>
      </c>
      <c r="P197" s="349">
        <v>71263702.980000004</v>
      </c>
      <c r="Q197" s="181">
        <f t="shared" si="271"/>
        <v>0.73509568935507819</v>
      </c>
      <c r="R197" s="349">
        <v>69399352.980000004</v>
      </c>
      <c r="S197" s="181">
        <f t="shared" si="272"/>
        <v>0.715864641975548</v>
      </c>
      <c r="T197" s="182">
        <v>29902226.460000001</v>
      </c>
      <c r="U197" s="182"/>
      <c r="V197" s="182"/>
      <c r="W197" s="182">
        <v>0</v>
      </c>
      <c r="X197" s="182">
        <v>0</v>
      </c>
      <c r="Y197" s="182">
        <f t="shared" si="282"/>
        <v>29902226.460000001</v>
      </c>
      <c r="Z197" s="349">
        <f t="shared" si="248"/>
        <v>29902226.460000001</v>
      </c>
      <c r="AA197" s="349"/>
      <c r="AB197" s="179"/>
      <c r="AC197" s="199">
        <f>SUM(T197:V197)</f>
        <v>29902226.460000001</v>
      </c>
      <c r="AD197" s="181">
        <f t="shared" si="273"/>
        <v>0.30844591080306727</v>
      </c>
      <c r="AE197" s="179">
        <v>1.0214439926895932E-2</v>
      </c>
      <c r="AF197" s="185">
        <f t="shared" si="283"/>
        <v>27545444.83608</v>
      </c>
      <c r="AG197" s="186">
        <f t="shared" si="274"/>
        <v>0.28413535802445195</v>
      </c>
      <c r="AH197" s="303" t="s">
        <v>369</v>
      </c>
      <c r="AI197" s="304">
        <v>96944797.816080004</v>
      </c>
      <c r="AJ197" s="239" t="s">
        <v>408</v>
      </c>
      <c r="AK197" s="349">
        <v>2500000</v>
      </c>
      <c r="AL197" s="349">
        <v>2500000</v>
      </c>
      <c r="AM197" s="207">
        <f t="shared" si="250"/>
        <v>2.5787871616823683E-2</v>
      </c>
      <c r="AN197" s="349"/>
      <c r="AO197" s="349">
        <f t="shared" si="291"/>
        <v>2500000</v>
      </c>
      <c r="AP197" s="349">
        <v>2500000</v>
      </c>
      <c r="AQ197" s="349">
        <v>2500000</v>
      </c>
      <c r="AR197" s="207">
        <f t="shared" si="230"/>
        <v>2.5787871616823683E-2</v>
      </c>
      <c r="AS197" s="207" t="s">
        <v>433</v>
      </c>
      <c r="AT197" s="207" t="s">
        <v>702</v>
      </c>
      <c r="AU197" s="378"/>
      <c r="AV197" s="256"/>
      <c r="AW197" s="289"/>
    </row>
    <row r="198" spans="1:51" s="80" customFormat="1" ht="46.5" customHeight="1">
      <c r="A198" s="375" t="s">
        <v>254</v>
      </c>
      <c r="B198" s="69" t="s">
        <v>620</v>
      </c>
      <c r="C198" s="70" t="s">
        <v>56</v>
      </c>
      <c r="D198" s="70" t="s">
        <v>5</v>
      </c>
      <c r="E198" s="104">
        <v>17359037</v>
      </c>
      <c r="F198" s="91">
        <f>E198*$E$6</f>
        <v>12200000.639748</v>
      </c>
      <c r="G198" s="104">
        <v>17359037</v>
      </c>
      <c r="H198" s="79">
        <f>G198*$G$6</f>
        <v>12200000.639748</v>
      </c>
      <c r="I198" s="104">
        <v>17359037</v>
      </c>
      <c r="J198" s="348">
        <f>I198*$I$6</f>
        <v>12200000.639748</v>
      </c>
      <c r="K198" s="348">
        <v>12200000.639748</v>
      </c>
      <c r="L198" s="348">
        <v>10248952.4</v>
      </c>
      <c r="M198" s="125">
        <f t="shared" si="246"/>
        <v>0.84007802152145628</v>
      </c>
      <c r="N198" s="348">
        <v>41482.980000000003</v>
      </c>
      <c r="O198" s="127">
        <f t="shared" si="216"/>
        <v>3.4002440839918566E-3</v>
      </c>
      <c r="P198" s="348">
        <v>10163358.25</v>
      </c>
      <c r="Q198" s="73">
        <f t="shared" si="271"/>
        <v>0.83306210795493307</v>
      </c>
      <c r="R198" s="348">
        <v>10163358.25</v>
      </c>
      <c r="S198" s="73">
        <f t="shared" si="272"/>
        <v>0.83306210795493307</v>
      </c>
      <c r="T198" s="76">
        <v>0</v>
      </c>
      <c r="U198" s="76"/>
      <c r="V198" s="76">
        <v>9292613.1500000004</v>
      </c>
      <c r="W198" s="76">
        <v>596860.24</v>
      </c>
      <c r="X198" s="76">
        <v>40198.720000000001</v>
      </c>
      <c r="Y198" s="76">
        <f t="shared" si="282"/>
        <v>9252414.4299999997</v>
      </c>
      <c r="Z198" s="348">
        <f t="shared" si="248"/>
        <v>596860.24</v>
      </c>
      <c r="AA198" s="348"/>
      <c r="AB198" s="125"/>
      <c r="AC198" s="111">
        <f>SUM(T198:V198)</f>
        <v>9292613.1500000004</v>
      </c>
      <c r="AD198" s="73">
        <f t="shared" si="273"/>
        <v>0.7616895625172645</v>
      </c>
      <c r="AE198" s="125">
        <v>7.2102407460471988E-4</v>
      </c>
      <c r="AF198" s="166">
        <f t="shared" si="283"/>
        <v>2036642.3897479996</v>
      </c>
      <c r="AG198" s="167">
        <f t="shared" si="274"/>
        <v>0.16693789204506698</v>
      </c>
      <c r="AH198" s="149" t="s">
        <v>357</v>
      </c>
      <c r="AI198" s="215">
        <v>12200000.639748</v>
      </c>
      <c r="AJ198" s="238" t="s">
        <v>409</v>
      </c>
      <c r="AK198" s="348">
        <v>0</v>
      </c>
      <c r="AL198" s="348">
        <v>0</v>
      </c>
      <c r="AM198" s="92">
        <f t="shared" si="250"/>
        <v>0</v>
      </c>
      <c r="AN198" s="348"/>
      <c r="AO198" s="348">
        <f t="shared" si="291"/>
        <v>0</v>
      </c>
      <c r="AP198" s="92"/>
      <c r="AQ198" s="92"/>
      <c r="AR198" s="92">
        <f t="shared" si="230"/>
        <v>0</v>
      </c>
      <c r="AS198" s="92"/>
      <c r="AT198" s="92"/>
      <c r="AU198" s="382"/>
      <c r="AV198" s="256"/>
      <c r="AW198" s="289"/>
    </row>
    <row r="199" spans="1:51" s="80" customFormat="1" ht="57" customHeight="1">
      <c r="A199" s="375" t="s">
        <v>104</v>
      </c>
      <c r="B199" s="69" t="s">
        <v>621</v>
      </c>
      <c r="C199" s="70" t="s">
        <v>56</v>
      </c>
      <c r="D199" s="70" t="s">
        <v>687</v>
      </c>
      <c r="E199" s="104">
        <v>3628324</v>
      </c>
      <c r="F199" s="91">
        <f>E199*$E$6</f>
        <v>2550000.6204960002</v>
      </c>
      <c r="G199" s="79">
        <v>3628324</v>
      </c>
      <c r="H199" s="79">
        <f>G199*$G$6</f>
        <v>2550000.6204960002</v>
      </c>
      <c r="I199" s="104">
        <v>3628324</v>
      </c>
      <c r="J199" s="348">
        <f>I199*$I$6</f>
        <v>2550000.6204960002</v>
      </c>
      <c r="K199" s="348">
        <v>2550000.6204960002</v>
      </c>
      <c r="L199" s="348"/>
      <c r="M199" s="125">
        <f t="shared" si="246"/>
        <v>0</v>
      </c>
      <c r="N199" s="348"/>
      <c r="O199" s="127">
        <f t="shared" si="216"/>
        <v>0</v>
      </c>
      <c r="P199" s="348">
        <v>0</v>
      </c>
      <c r="Q199" s="73">
        <f t="shared" si="271"/>
        <v>0</v>
      </c>
      <c r="R199" s="348">
        <v>0</v>
      </c>
      <c r="S199" s="73">
        <f t="shared" si="272"/>
        <v>0</v>
      </c>
      <c r="T199" s="76">
        <v>0</v>
      </c>
      <c r="U199" s="76">
        <v>0</v>
      </c>
      <c r="V199" s="76">
        <v>0</v>
      </c>
      <c r="W199" s="76">
        <v>0</v>
      </c>
      <c r="X199" s="76">
        <v>0</v>
      </c>
      <c r="Y199" s="76">
        <f t="shared" si="282"/>
        <v>0</v>
      </c>
      <c r="Z199" s="348">
        <f t="shared" si="248"/>
        <v>0</v>
      </c>
      <c r="AA199" s="348"/>
      <c r="AB199" s="125"/>
      <c r="AC199" s="113">
        <f>SUM(T199:V199)</f>
        <v>0</v>
      </c>
      <c r="AD199" s="73">
        <f t="shared" si="273"/>
        <v>0</v>
      </c>
      <c r="AE199" s="125"/>
      <c r="AF199" s="166">
        <f t="shared" si="283"/>
        <v>2550000.6204960002</v>
      </c>
      <c r="AG199" s="167">
        <f t="shared" si="274"/>
        <v>1</v>
      </c>
      <c r="AH199" s="153" t="s">
        <v>370</v>
      </c>
      <c r="AI199" s="212">
        <v>3000000.3992640004</v>
      </c>
      <c r="AJ199" s="238" t="s">
        <v>409</v>
      </c>
      <c r="AK199" s="348">
        <v>0</v>
      </c>
      <c r="AL199" s="348">
        <v>0</v>
      </c>
      <c r="AM199" s="92">
        <f t="shared" si="250"/>
        <v>0</v>
      </c>
      <c r="AN199" s="348"/>
      <c r="AO199" s="348">
        <f t="shared" si="291"/>
        <v>0</v>
      </c>
      <c r="AP199" s="92"/>
      <c r="AQ199" s="92"/>
      <c r="AR199" s="92">
        <f t="shared" si="230"/>
        <v>0</v>
      </c>
      <c r="AS199" s="92"/>
      <c r="AT199" s="92"/>
      <c r="AU199" s="382"/>
      <c r="AV199" s="256"/>
      <c r="AW199" s="289"/>
    </row>
    <row r="200" spans="1:51" s="94" customFormat="1" ht="100.9" customHeight="1">
      <c r="A200" s="375" t="s">
        <v>105</v>
      </c>
      <c r="B200" s="69" t="s">
        <v>622</v>
      </c>
      <c r="C200" s="70" t="s">
        <v>56</v>
      </c>
      <c r="D200" s="70" t="s">
        <v>168</v>
      </c>
      <c r="E200" s="104">
        <v>23034492</v>
      </c>
      <c r="F200" s="91">
        <f>E200*$E$6</f>
        <v>16188733.115567999</v>
      </c>
      <c r="G200" s="104">
        <v>23034492</v>
      </c>
      <c r="H200" s="79">
        <f>G200*$G$6</f>
        <v>16188733.115567999</v>
      </c>
      <c r="I200" s="104">
        <v>23034492</v>
      </c>
      <c r="J200" s="348">
        <f>I200*$I$6</f>
        <v>16188733.115567999</v>
      </c>
      <c r="K200" s="348">
        <v>16188733.115567999</v>
      </c>
      <c r="L200" s="348"/>
      <c r="M200" s="125">
        <f t="shared" si="246"/>
        <v>0</v>
      </c>
      <c r="N200" s="348"/>
      <c r="O200" s="127">
        <f t="shared" si="216"/>
        <v>0</v>
      </c>
      <c r="P200" s="348">
        <v>0</v>
      </c>
      <c r="Q200" s="73">
        <f t="shared" si="271"/>
        <v>0</v>
      </c>
      <c r="R200" s="348">
        <v>0</v>
      </c>
      <c r="S200" s="73">
        <f t="shared" si="272"/>
        <v>0</v>
      </c>
      <c r="T200" s="76">
        <v>0</v>
      </c>
      <c r="U200" s="76">
        <v>0</v>
      </c>
      <c r="V200" s="76">
        <v>0</v>
      </c>
      <c r="W200" s="76">
        <v>0</v>
      </c>
      <c r="X200" s="76">
        <v>0</v>
      </c>
      <c r="Y200" s="76">
        <f t="shared" si="282"/>
        <v>0</v>
      </c>
      <c r="Z200" s="348">
        <f t="shared" si="248"/>
        <v>0</v>
      </c>
      <c r="AA200" s="348"/>
      <c r="AB200" s="125"/>
      <c r="AC200" s="113">
        <f>SUM(T200:V200)</f>
        <v>0</v>
      </c>
      <c r="AD200" s="73">
        <f t="shared" si="273"/>
        <v>0</v>
      </c>
      <c r="AE200" s="125"/>
      <c r="AF200" s="166">
        <f t="shared" si="283"/>
        <v>16188733.115567999</v>
      </c>
      <c r="AG200" s="167">
        <f t="shared" si="274"/>
        <v>1</v>
      </c>
      <c r="AH200" s="145" t="s">
        <v>385</v>
      </c>
      <c r="AI200" s="225">
        <v>18568611.594216</v>
      </c>
      <c r="AJ200" s="238" t="s">
        <v>409</v>
      </c>
      <c r="AK200" s="348">
        <v>0</v>
      </c>
      <c r="AL200" s="348">
        <v>0</v>
      </c>
      <c r="AM200" s="92">
        <f t="shared" si="250"/>
        <v>0</v>
      </c>
      <c r="AN200" s="348"/>
      <c r="AO200" s="348">
        <f t="shared" si="291"/>
        <v>0</v>
      </c>
      <c r="AP200" s="92"/>
      <c r="AQ200" s="92"/>
      <c r="AR200" s="92">
        <f t="shared" si="230"/>
        <v>0</v>
      </c>
      <c r="AS200" s="92"/>
      <c r="AT200" s="92"/>
      <c r="AU200" s="382"/>
      <c r="AV200" s="256"/>
      <c r="AW200" s="289"/>
    </row>
    <row r="201" spans="1:51" s="80" customFormat="1" ht="105.75" customHeight="1">
      <c r="A201" s="381" t="s">
        <v>106</v>
      </c>
      <c r="B201" s="74" t="s">
        <v>623</v>
      </c>
      <c r="C201" s="75" t="s">
        <v>56</v>
      </c>
      <c r="D201" s="75" t="s">
        <v>168</v>
      </c>
      <c r="E201" s="106"/>
      <c r="F201" s="91">
        <f>F202+F203</f>
        <v>0</v>
      </c>
      <c r="G201" s="91"/>
      <c r="H201" s="91">
        <f>H202+H203</f>
        <v>0</v>
      </c>
      <c r="I201" s="91"/>
      <c r="J201" s="348">
        <f>J202+J203</f>
        <v>0</v>
      </c>
      <c r="K201" s="348">
        <f t="shared" ref="K201:AI201" si="296">K202+K203</f>
        <v>0</v>
      </c>
      <c r="L201" s="348">
        <f t="shared" si="296"/>
        <v>0</v>
      </c>
      <c r="M201" s="348">
        <f t="shared" si="296"/>
        <v>0</v>
      </c>
      <c r="N201" s="348">
        <f t="shared" si="296"/>
        <v>0</v>
      </c>
      <c r="O201" s="348">
        <f t="shared" si="296"/>
        <v>0</v>
      </c>
      <c r="P201" s="348">
        <f t="shared" si="296"/>
        <v>0</v>
      </c>
      <c r="Q201" s="348">
        <f t="shared" si="296"/>
        <v>0</v>
      </c>
      <c r="R201" s="348">
        <f t="shared" si="296"/>
        <v>0</v>
      </c>
      <c r="S201" s="348">
        <f t="shared" si="296"/>
        <v>0</v>
      </c>
      <c r="T201" s="348">
        <f t="shared" si="296"/>
        <v>0</v>
      </c>
      <c r="U201" s="348">
        <f t="shared" si="296"/>
        <v>0</v>
      </c>
      <c r="V201" s="348">
        <f t="shared" si="296"/>
        <v>0</v>
      </c>
      <c r="W201" s="348">
        <f t="shared" si="296"/>
        <v>0</v>
      </c>
      <c r="X201" s="348">
        <f t="shared" si="296"/>
        <v>0</v>
      </c>
      <c r="Y201" s="348">
        <f t="shared" si="296"/>
        <v>0</v>
      </c>
      <c r="Z201" s="348">
        <f t="shared" si="296"/>
        <v>0</v>
      </c>
      <c r="AA201" s="348">
        <f t="shared" si="296"/>
        <v>0</v>
      </c>
      <c r="AB201" s="348">
        <f t="shared" si="296"/>
        <v>0</v>
      </c>
      <c r="AC201" s="348">
        <f t="shared" si="296"/>
        <v>0</v>
      </c>
      <c r="AD201" s="348">
        <f t="shared" si="296"/>
        <v>0</v>
      </c>
      <c r="AE201" s="348">
        <f t="shared" si="296"/>
        <v>0</v>
      </c>
      <c r="AF201" s="348">
        <f t="shared" si="296"/>
        <v>0</v>
      </c>
      <c r="AG201" s="348">
        <f t="shared" si="296"/>
        <v>0</v>
      </c>
      <c r="AH201" s="348" t="e">
        <f t="shared" si="296"/>
        <v>#VALUE!</v>
      </c>
      <c r="AI201" s="348">
        <f t="shared" si="296"/>
        <v>0</v>
      </c>
      <c r="AJ201" s="238" t="s">
        <v>409</v>
      </c>
      <c r="AK201" s="348">
        <f>AK202+AK203</f>
        <v>0</v>
      </c>
      <c r="AL201" s="348">
        <f t="shared" ref="AL201" si="297">AL202+AL203</f>
        <v>0</v>
      </c>
      <c r="AM201" s="92">
        <v>0</v>
      </c>
      <c r="AN201" s="348"/>
      <c r="AO201" s="348">
        <f t="shared" si="291"/>
        <v>0</v>
      </c>
      <c r="AP201" s="92"/>
      <c r="AQ201" s="92"/>
      <c r="AR201" s="92" t="e">
        <f t="shared" si="230"/>
        <v>#DIV/0!</v>
      </c>
      <c r="AS201" s="92"/>
      <c r="AT201" s="92"/>
      <c r="AU201" s="382"/>
      <c r="AV201" s="256"/>
      <c r="AW201" s="289"/>
    </row>
    <row r="202" spans="1:51" s="80" customFormat="1" ht="72" customHeight="1">
      <c r="A202" s="375" t="s">
        <v>107</v>
      </c>
      <c r="B202" s="69" t="s">
        <v>624</v>
      </c>
      <c r="C202" s="70" t="s">
        <v>56</v>
      </c>
      <c r="D202" s="70" t="s">
        <v>168</v>
      </c>
      <c r="E202" s="104">
        <v>0</v>
      </c>
      <c r="F202" s="91">
        <f>E202*$E$6</f>
        <v>0</v>
      </c>
      <c r="G202" s="79">
        <v>0</v>
      </c>
      <c r="H202" s="79">
        <f>G202*$G$6</f>
        <v>0</v>
      </c>
      <c r="I202" s="104">
        <v>0</v>
      </c>
      <c r="J202" s="348">
        <f>I202*$I$6</f>
        <v>0</v>
      </c>
      <c r="K202" s="348">
        <v>0</v>
      </c>
      <c r="L202" s="348"/>
      <c r="M202" s="125"/>
      <c r="N202" s="348"/>
      <c r="O202" s="127"/>
      <c r="P202" s="348">
        <v>0</v>
      </c>
      <c r="Q202" s="73"/>
      <c r="R202" s="348">
        <v>0</v>
      </c>
      <c r="S202" s="73"/>
      <c r="T202" s="76">
        <v>0</v>
      </c>
      <c r="U202" s="76">
        <v>0</v>
      </c>
      <c r="V202" s="76">
        <v>0</v>
      </c>
      <c r="W202" s="76">
        <v>0</v>
      </c>
      <c r="X202" s="76">
        <v>0</v>
      </c>
      <c r="Y202" s="76">
        <f t="shared" si="282"/>
        <v>0</v>
      </c>
      <c r="Z202" s="348">
        <f t="shared" si="248"/>
        <v>0</v>
      </c>
      <c r="AA202" s="348"/>
      <c r="AB202" s="125"/>
      <c r="AC202" s="113">
        <f>SUM(T202:V202)</f>
        <v>0</v>
      </c>
      <c r="AD202" s="73"/>
      <c r="AE202" s="125"/>
      <c r="AF202" s="166">
        <f t="shared" si="283"/>
        <v>0</v>
      </c>
      <c r="AG202" s="167">
        <v>0</v>
      </c>
      <c r="AH202" s="155" t="s">
        <v>386</v>
      </c>
      <c r="AI202" s="225">
        <v>0</v>
      </c>
      <c r="AJ202" s="238" t="s">
        <v>409</v>
      </c>
      <c r="AK202" s="348">
        <v>0</v>
      </c>
      <c r="AL202" s="348">
        <v>0</v>
      </c>
      <c r="AM202" s="92">
        <v>0</v>
      </c>
      <c r="AN202" s="348"/>
      <c r="AO202" s="348">
        <f t="shared" si="291"/>
        <v>0</v>
      </c>
      <c r="AP202" s="92"/>
      <c r="AQ202" s="92"/>
      <c r="AR202" s="92" t="e">
        <f t="shared" si="230"/>
        <v>#DIV/0!</v>
      </c>
      <c r="AS202" s="92"/>
      <c r="AT202" s="92"/>
      <c r="AU202" s="382"/>
      <c r="AV202" s="256"/>
      <c r="AW202" s="289"/>
    </row>
    <row r="203" spans="1:51" s="94" customFormat="1" ht="49.5">
      <c r="A203" s="375" t="s">
        <v>108</v>
      </c>
      <c r="B203" s="69" t="s">
        <v>625</v>
      </c>
      <c r="C203" s="70" t="s">
        <v>56</v>
      </c>
      <c r="D203" s="70" t="s">
        <v>168</v>
      </c>
      <c r="E203" s="104">
        <v>0</v>
      </c>
      <c r="F203" s="91">
        <f>E203*$E$6</f>
        <v>0</v>
      </c>
      <c r="G203" s="79">
        <v>0</v>
      </c>
      <c r="H203" s="79">
        <f>G203*$G$6</f>
        <v>0</v>
      </c>
      <c r="I203" s="104">
        <v>0</v>
      </c>
      <c r="J203" s="348">
        <f>I203*$I$6</f>
        <v>0</v>
      </c>
      <c r="K203" s="348">
        <v>0</v>
      </c>
      <c r="L203" s="348"/>
      <c r="M203" s="125"/>
      <c r="N203" s="348"/>
      <c r="O203" s="127"/>
      <c r="P203" s="348">
        <v>0</v>
      </c>
      <c r="Q203" s="73"/>
      <c r="R203" s="348">
        <v>0</v>
      </c>
      <c r="S203" s="78">
        <v>0</v>
      </c>
      <c r="T203" s="76">
        <v>0</v>
      </c>
      <c r="U203" s="76">
        <v>0</v>
      </c>
      <c r="V203" s="76">
        <v>0</v>
      </c>
      <c r="W203" s="76">
        <v>0</v>
      </c>
      <c r="X203" s="76">
        <v>0</v>
      </c>
      <c r="Y203" s="76">
        <f t="shared" si="282"/>
        <v>0</v>
      </c>
      <c r="Z203" s="348">
        <f t="shared" si="248"/>
        <v>0</v>
      </c>
      <c r="AA203" s="348"/>
      <c r="AB203" s="125"/>
      <c r="AC203" s="113">
        <f>SUM(T203:V203)</f>
        <v>0</v>
      </c>
      <c r="AD203" s="73"/>
      <c r="AE203" s="125"/>
      <c r="AF203" s="166">
        <f t="shared" si="283"/>
        <v>0</v>
      </c>
      <c r="AG203" s="167">
        <v>0</v>
      </c>
      <c r="AH203" s="155" t="s">
        <v>387</v>
      </c>
      <c r="AI203" s="225">
        <v>0</v>
      </c>
      <c r="AJ203" s="238" t="s">
        <v>409</v>
      </c>
      <c r="AK203" s="348">
        <v>0</v>
      </c>
      <c r="AL203" s="348">
        <v>0</v>
      </c>
      <c r="AM203" s="92">
        <v>0</v>
      </c>
      <c r="AN203" s="348"/>
      <c r="AO203" s="348">
        <f t="shared" si="291"/>
        <v>0</v>
      </c>
      <c r="AP203" s="92"/>
      <c r="AQ203" s="92"/>
      <c r="AR203" s="92" t="e">
        <f t="shared" si="230"/>
        <v>#DIV/0!</v>
      </c>
      <c r="AS203" s="92"/>
      <c r="AT203" s="92"/>
      <c r="AU203" s="382"/>
      <c r="AV203" s="255"/>
      <c r="AW203" s="289"/>
      <c r="AX203" s="245"/>
      <c r="AY203" s="245"/>
    </row>
    <row r="204" spans="1:51" s="94" customFormat="1" ht="66">
      <c r="A204" s="373" t="s">
        <v>109</v>
      </c>
      <c r="B204" s="64" t="s">
        <v>626</v>
      </c>
      <c r="C204" s="65" t="s">
        <v>171</v>
      </c>
      <c r="D204" s="65" t="s">
        <v>168</v>
      </c>
      <c r="E204" s="105"/>
      <c r="F204" s="90">
        <f>F205+F212</f>
        <v>602279449.62860394</v>
      </c>
      <c r="G204" s="90"/>
      <c r="H204" s="90">
        <f>H205+H212</f>
        <v>602279449.62860394</v>
      </c>
      <c r="I204" s="90"/>
      <c r="J204" s="347">
        <f>J205+J212</f>
        <v>602279449.62860394</v>
      </c>
      <c r="K204" s="347">
        <f t="shared" ref="K204:AI204" si="298">K205+K212</f>
        <v>645345897.03594005</v>
      </c>
      <c r="L204" s="347">
        <f t="shared" si="298"/>
        <v>667416416.82999992</v>
      </c>
      <c r="M204" s="347">
        <f t="shared" si="298"/>
        <v>7.2980733531130619</v>
      </c>
      <c r="N204" s="347">
        <f t="shared" si="298"/>
        <v>0</v>
      </c>
      <c r="O204" s="347">
        <f t="shared" si="298"/>
        <v>0</v>
      </c>
      <c r="P204" s="347">
        <f t="shared" si="298"/>
        <v>583628904.43000007</v>
      </c>
      <c r="Q204" s="347">
        <f t="shared" si="298"/>
        <v>5.9625633065971106</v>
      </c>
      <c r="R204" s="347">
        <f t="shared" si="298"/>
        <v>579319350.43000007</v>
      </c>
      <c r="S204" s="347">
        <f t="shared" si="298"/>
        <v>5.8676885029261152</v>
      </c>
      <c r="T204" s="347">
        <f t="shared" si="298"/>
        <v>138745663.94</v>
      </c>
      <c r="U204" s="347">
        <f t="shared" si="298"/>
        <v>0</v>
      </c>
      <c r="V204" s="347">
        <f t="shared" si="298"/>
        <v>70415452.689999998</v>
      </c>
      <c r="W204" s="347">
        <f t="shared" si="298"/>
        <v>0</v>
      </c>
      <c r="X204" s="347">
        <f t="shared" si="298"/>
        <v>0</v>
      </c>
      <c r="Y204" s="347">
        <f t="shared" si="298"/>
        <v>209161116.63000003</v>
      </c>
      <c r="Z204" s="347">
        <f t="shared" si="298"/>
        <v>138745663.94</v>
      </c>
      <c r="AA204" s="347">
        <f t="shared" si="298"/>
        <v>72718350</v>
      </c>
      <c r="AB204" s="347">
        <f t="shared" si="298"/>
        <v>0.3355101007205909</v>
      </c>
      <c r="AC204" s="347">
        <f t="shared" si="298"/>
        <v>209161116.63000003</v>
      </c>
      <c r="AD204" s="347">
        <f t="shared" si="298"/>
        <v>2.2596356997603801</v>
      </c>
      <c r="AE204" s="347">
        <f t="shared" si="298"/>
        <v>3.3490873105408137E-3</v>
      </c>
      <c r="AF204" s="347">
        <f t="shared" si="298"/>
        <v>22960098.598604005</v>
      </c>
      <c r="AG204" s="347">
        <f t="shared" si="298"/>
        <v>1.1323114910786383</v>
      </c>
      <c r="AH204" s="347" t="e">
        <f t="shared" si="298"/>
        <v>#VALUE!</v>
      </c>
      <c r="AI204" s="347">
        <f t="shared" si="298"/>
        <v>708564058.59329998</v>
      </c>
      <c r="AJ204" s="237" t="s">
        <v>408</v>
      </c>
      <c r="AK204" s="347">
        <f>AK205+AK212</f>
        <v>30000000</v>
      </c>
      <c r="AL204" s="347">
        <f t="shared" ref="AL204" si="299">AL205+AL212</f>
        <v>35294117.54405801</v>
      </c>
      <c r="AM204" s="306">
        <f t="shared" si="250"/>
        <v>5.4690233107800232E-2</v>
      </c>
      <c r="AN204" s="175"/>
      <c r="AO204" s="347">
        <f t="shared" si="291"/>
        <v>35294117.54405801</v>
      </c>
      <c r="AP204" s="347">
        <f>AP205+AP212</f>
        <v>35294117.54405801</v>
      </c>
      <c r="AQ204" s="347">
        <f>AQ205+AQ212</f>
        <v>35294117.54405801</v>
      </c>
      <c r="AR204" s="306">
        <f t="shared" si="230"/>
        <v>5.4690233107800232E-2</v>
      </c>
      <c r="AS204" s="92"/>
      <c r="AT204" s="92"/>
      <c r="AU204" s="380"/>
      <c r="AV204" s="255"/>
      <c r="AW204" s="289"/>
      <c r="AX204" s="245"/>
      <c r="AY204" s="245"/>
    </row>
    <row r="205" spans="1:51" s="80" customFormat="1" ht="59.25" customHeight="1">
      <c r="A205" s="373" t="s">
        <v>110</v>
      </c>
      <c r="B205" s="64" t="s">
        <v>627</v>
      </c>
      <c r="C205" s="65" t="s">
        <v>171</v>
      </c>
      <c r="D205" s="65" t="s">
        <v>1</v>
      </c>
      <c r="E205" s="105"/>
      <c r="F205" s="90">
        <f>F206+F207+F208+F209+F210+F211</f>
        <v>502200160.02860397</v>
      </c>
      <c r="G205" s="90"/>
      <c r="H205" s="90">
        <f>H206+H207+H208+H209+H210+H211</f>
        <v>502200160.02860397</v>
      </c>
      <c r="I205" s="90"/>
      <c r="J205" s="347">
        <f>J206+J207+J208+J209+J210+J211</f>
        <v>502200160.02860397</v>
      </c>
      <c r="K205" s="347">
        <f>K206+K207+K208+K209+K210+K211</f>
        <v>545266607.43594003</v>
      </c>
      <c r="L205" s="347">
        <f t="shared" ref="L205:AI205" si="300">L206+L207+L208+L209+L210+L211</f>
        <v>567337127.82999992</v>
      </c>
      <c r="M205" s="347">
        <f t="shared" si="300"/>
        <v>6.298073359108308</v>
      </c>
      <c r="N205" s="347">
        <f t="shared" si="300"/>
        <v>0</v>
      </c>
      <c r="O205" s="347">
        <f t="shared" si="300"/>
        <v>0</v>
      </c>
      <c r="P205" s="347">
        <f t="shared" si="300"/>
        <v>483549615.43000001</v>
      </c>
      <c r="Q205" s="347">
        <f t="shared" si="300"/>
        <v>4.9625633125923567</v>
      </c>
      <c r="R205" s="347">
        <f t="shared" si="300"/>
        <v>479240061.43000001</v>
      </c>
      <c r="S205" s="347">
        <f t="shared" si="300"/>
        <v>4.8676885089213613</v>
      </c>
      <c r="T205" s="347">
        <f t="shared" si="300"/>
        <v>138745663.94</v>
      </c>
      <c r="U205" s="347">
        <f t="shared" si="300"/>
        <v>0</v>
      </c>
      <c r="V205" s="347">
        <f t="shared" si="300"/>
        <v>48140616.689999998</v>
      </c>
      <c r="W205" s="347">
        <f t="shared" si="300"/>
        <v>0</v>
      </c>
      <c r="X205" s="347">
        <f t="shared" si="300"/>
        <v>0</v>
      </c>
      <c r="Y205" s="347">
        <f t="shared" si="300"/>
        <v>186886280.63000003</v>
      </c>
      <c r="Z205" s="347">
        <f t="shared" si="300"/>
        <v>138745663.94</v>
      </c>
      <c r="AA205" s="347">
        <f t="shared" si="300"/>
        <v>72718350</v>
      </c>
      <c r="AB205" s="347">
        <f t="shared" si="300"/>
        <v>0.3355101007205909</v>
      </c>
      <c r="AC205" s="347">
        <f t="shared" si="300"/>
        <v>186886280.63000003</v>
      </c>
      <c r="AD205" s="347">
        <f t="shared" si="300"/>
        <v>2.0370638161166337</v>
      </c>
      <c r="AE205" s="347">
        <f t="shared" si="300"/>
        <v>3.3490873105408137E-3</v>
      </c>
      <c r="AF205" s="347">
        <f t="shared" si="300"/>
        <v>22960098.598604005</v>
      </c>
      <c r="AG205" s="347">
        <f t="shared" si="300"/>
        <v>1.1323114910786383</v>
      </c>
      <c r="AH205" s="347" t="e">
        <f t="shared" si="300"/>
        <v>#VALUE!</v>
      </c>
      <c r="AI205" s="347">
        <f t="shared" si="300"/>
        <v>590823717.72205198</v>
      </c>
      <c r="AJ205" s="237" t="s">
        <v>408</v>
      </c>
      <c r="AK205" s="347">
        <f>AK206+AK207+AK208+AK209+AK210+AK211</f>
        <v>30000000</v>
      </c>
      <c r="AL205" s="347">
        <f>AL206+AL207+AL208+AL209+AL210+AL211</f>
        <v>35294117.54405801</v>
      </c>
      <c r="AM205" s="306">
        <f t="shared" si="250"/>
        <v>6.4728184456453244E-2</v>
      </c>
      <c r="AN205" s="177"/>
      <c r="AO205" s="347">
        <f t="shared" si="291"/>
        <v>35294117.54405801</v>
      </c>
      <c r="AP205" s="347">
        <f>AP206+AP207+AP208+AP209+AP210+AP211</f>
        <v>35294117.54405801</v>
      </c>
      <c r="AQ205" s="347">
        <f>AQ206+AQ207+AQ208+AQ209+AQ210+AQ211</f>
        <v>35294117.54405801</v>
      </c>
      <c r="AR205" s="306">
        <f t="shared" si="230"/>
        <v>6.4728184456453244E-2</v>
      </c>
      <c r="AS205" s="92"/>
      <c r="AT205" s="92"/>
      <c r="AU205" s="380"/>
      <c r="AV205" s="253"/>
      <c r="AW205" s="289"/>
      <c r="AX205" s="245"/>
      <c r="AY205" s="245"/>
    </row>
    <row r="206" spans="1:51" s="80" customFormat="1" ht="109.15" customHeight="1">
      <c r="A206" s="377" t="s">
        <v>226</v>
      </c>
      <c r="B206" s="345" t="s">
        <v>628</v>
      </c>
      <c r="C206" s="178" t="s">
        <v>171</v>
      </c>
      <c r="D206" s="178" t="s">
        <v>168</v>
      </c>
      <c r="E206" s="202">
        <v>308392773</v>
      </c>
      <c r="F206" s="202">
        <f t="shared" ref="F206:F211" si="301">E206*$E$6</f>
        <v>216739674.43549201</v>
      </c>
      <c r="G206" s="202">
        <v>308392773</v>
      </c>
      <c r="H206" s="182">
        <f t="shared" ref="H206:H211" si="302">G206*$G$6</f>
        <v>216739674.43549201</v>
      </c>
      <c r="I206" s="202">
        <v>308392773</v>
      </c>
      <c r="J206" s="349">
        <f t="shared" ref="J206:J211" si="303">I206*$I$6</f>
        <v>216739674.43549201</v>
      </c>
      <c r="K206" s="349">
        <v>254987851.532904</v>
      </c>
      <c r="L206" s="349">
        <v>281932131.35000002</v>
      </c>
      <c r="M206" s="179">
        <f t="shared" si="246"/>
        <v>1.3007869098461304</v>
      </c>
      <c r="N206" s="349"/>
      <c r="O206" s="180">
        <f t="shared" ref="O206:O262" si="304">N206/J206</f>
        <v>0</v>
      </c>
      <c r="P206" s="349">
        <v>209213781.34999999</v>
      </c>
      <c r="Q206" s="181">
        <f t="shared" ref="Q206:Q225" si="305">P206/J206</f>
        <v>0.96527680912553948</v>
      </c>
      <c r="R206" s="349">
        <v>209213781.34999999</v>
      </c>
      <c r="S206" s="181">
        <f t="shared" ref="S206:S225" si="306">R206/J206</f>
        <v>0.96527680912553948</v>
      </c>
      <c r="T206" s="182">
        <v>90150181.290000007</v>
      </c>
      <c r="U206" s="182"/>
      <c r="V206" s="182"/>
      <c r="W206" s="182">
        <v>0</v>
      </c>
      <c r="X206" s="182">
        <v>0</v>
      </c>
      <c r="Y206" s="182">
        <f t="shared" si="282"/>
        <v>90150181.290000007</v>
      </c>
      <c r="Z206" s="349">
        <f t="shared" si="248"/>
        <v>90150181.290000007</v>
      </c>
      <c r="AA206" s="349">
        <v>72718350</v>
      </c>
      <c r="AB206" s="196">
        <f>AA206/J206</f>
        <v>0.3355101007205909</v>
      </c>
      <c r="AC206" s="199">
        <f t="shared" ref="AC206:AC211" si="307">SUM(T206:V206)</f>
        <v>90150181.290000007</v>
      </c>
      <c r="AD206" s="181">
        <f t="shared" ref="AD206:AD225" si="308">AC206/J206</f>
        <v>0.41593760590810203</v>
      </c>
      <c r="AE206" s="179">
        <v>9.2911416329978446E-5</v>
      </c>
      <c r="AF206" s="185">
        <f t="shared" si="283"/>
        <v>7525893.0854920149</v>
      </c>
      <c r="AG206" s="186">
        <f t="shared" ref="AG206:AG234" si="309">AF206/J206</f>
        <v>3.4723190874460498E-2</v>
      </c>
      <c r="AH206" s="204" t="s">
        <v>388</v>
      </c>
      <c r="AI206" s="224">
        <v>254987851.532904</v>
      </c>
      <c r="AJ206" s="239" t="s">
        <v>408</v>
      </c>
      <c r="AK206" s="349">
        <v>30000000</v>
      </c>
      <c r="AL206" s="349">
        <v>35294117.54405801</v>
      </c>
      <c r="AM206" s="207">
        <f t="shared" si="250"/>
        <v>0.138414898325082</v>
      </c>
      <c r="AN206" s="186" t="s">
        <v>408</v>
      </c>
      <c r="AO206" s="349">
        <f t="shared" si="291"/>
        <v>35294117.54405801</v>
      </c>
      <c r="AP206" s="349">
        <v>35294117.54405801</v>
      </c>
      <c r="AQ206" s="349">
        <v>35294117.54405801</v>
      </c>
      <c r="AR206" s="207">
        <f t="shared" si="230"/>
        <v>0.138414898325082</v>
      </c>
      <c r="AS206" s="319" t="s">
        <v>433</v>
      </c>
      <c r="AT206" s="269" t="s">
        <v>722</v>
      </c>
      <c r="AU206" s="378"/>
      <c r="AV206" s="256"/>
      <c r="AW206" s="289"/>
    </row>
    <row r="207" spans="1:51" s="80" customFormat="1" ht="101.25" customHeight="1">
      <c r="A207" s="375" t="s">
        <v>111</v>
      </c>
      <c r="B207" s="69" t="s">
        <v>629</v>
      </c>
      <c r="C207" s="70" t="s">
        <v>171</v>
      </c>
      <c r="D207" s="70" t="s">
        <v>168</v>
      </c>
      <c r="E207" s="104">
        <v>130496200</v>
      </c>
      <c r="F207" s="104">
        <f t="shared" si="301"/>
        <v>91713251.344799995</v>
      </c>
      <c r="G207" s="79">
        <v>130496200</v>
      </c>
      <c r="H207" s="79">
        <f t="shared" si="302"/>
        <v>91713251.344799995</v>
      </c>
      <c r="I207" s="104">
        <v>130496200</v>
      </c>
      <c r="J207" s="348">
        <f t="shared" si="303"/>
        <v>91713251.344799995</v>
      </c>
      <c r="K207" s="348">
        <v>96531521.654724002</v>
      </c>
      <c r="L207" s="348">
        <v>91713251</v>
      </c>
      <c r="M207" s="125">
        <f t="shared" si="246"/>
        <v>0.9999999962404561</v>
      </c>
      <c r="N207" s="348"/>
      <c r="O207" s="127">
        <f t="shared" si="304"/>
        <v>0</v>
      </c>
      <c r="P207" s="348">
        <v>91713251</v>
      </c>
      <c r="Q207" s="73">
        <f t="shared" si="305"/>
        <v>0.9999999962404561</v>
      </c>
      <c r="R207" s="348">
        <v>91713251</v>
      </c>
      <c r="S207" s="73">
        <f t="shared" si="306"/>
        <v>0.9999999962404561</v>
      </c>
      <c r="T207" s="76">
        <v>12786363.279999999</v>
      </c>
      <c r="U207" s="76"/>
      <c r="V207" s="76">
        <v>23515440.800000001</v>
      </c>
      <c r="W207" s="76">
        <v>0</v>
      </c>
      <c r="X207" s="76">
        <v>0</v>
      </c>
      <c r="Y207" s="76">
        <f t="shared" si="282"/>
        <v>36301804.079999998</v>
      </c>
      <c r="Z207" s="348">
        <f t="shared" si="248"/>
        <v>12786363.279999999</v>
      </c>
      <c r="AA207" s="348"/>
      <c r="AB207" s="125"/>
      <c r="AC207" s="111">
        <f t="shared" si="307"/>
        <v>36301804.079999998</v>
      </c>
      <c r="AD207" s="73">
        <f t="shared" si="308"/>
        <v>0.3958185272869868</v>
      </c>
      <c r="AE207" s="125">
        <v>0</v>
      </c>
      <c r="AF207" s="166">
        <f t="shared" si="283"/>
        <v>0.34479999542236328</v>
      </c>
      <c r="AG207" s="167">
        <f t="shared" si="309"/>
        <v>3.7595439085031731E-9</v>
      </c>
      <c r="AH207" s="156" t="s">
        <v>389</v>
      </c>
      <c r="AI207" s="228">
        <v>107897942.634564</v>
      </c>
      <c r="AJ207" s="238" t="s">
        <v>409</v>
      </c>
      <c r="AK207" s="348">
        <v>0</v>
      </c>
      <c r="AL207" s="348">
        <v>0</v>
      </c>
      <c r="AM207" s="92">
        <f t="shared" si="250"/>
        <v>0</v>
      </c>
      <c r="AN207" s="348"/>
      <c r="AO207" s="348">
        <f t="shared" si="291"/>
        <v>0</v>
      </c>
      <c r="AP207" s="92"/>
      <c r="AQ207" s="92"/>
      <c r="AR207" s="92">
        <f t="shared" si="230"/>
        <v>0</v>
      </c>
      <c r="AS207" s="92"/>
      <c r="AT207" s="92"/>
      <c r="AU207" s="382"/>
      <c r="AV207" s="256"/>
      <c r="AW207" s="289"/>
    </row>
    <row r="208" spans="1:51" s="80" customFormat="1" ht="56.25" customHeight="1">
      <c r="A208" s="375" t="s">
        <v>177</v>
      </c>
      <c r="B208" s="69" t="s">
        <v>630</v>
      </c>
      <c r="C208" s="70" t="s">
        <v>171</v>
      </c>
      <c r="D208" s="70" t="s">
        <v>168</v>
      </c>
      <c r="E208" s="104">
        <v>166199474</v>
      </c>
      <c r="F208" s="104">
        <f t="shared" si="301"/>
        <v>116805655.12509599</v>
      </c>
      <c r="G208" s="104">
        <v>166199474</v>
      </c>
      <c r="H208" s="79">
        <f t="shared" si="302"/>
        <v>116805655.12509599</v>
      </c>
      <c r="I208" s="104">
        <v>166199474</v>
      </c>
      <c r="J208" s="348">
        <f t="shared" si="303"/>
        <v>116805655.12509599</v>
      </c>
      <c r="K208" s="348">
        <v>116805655.12509599</v>
      </c>
      <c r="L208" s="348">
        <v>116805654.66</v>
      </c>
      <c r="M208" s="125">
        <f t="shared" si="246"/>
        <v>0.99999999601820655</v>
      </c>
      <c r="N208" s="348"/>
      <c r="O208" s="127">
        <f t="shared" si="304"/>
        <v>0</v>
      </c>
      <c r="P208" s="348">
        <v>116805654.66</v>
      </c>
      <c r="Q208" s="73">
        <f t="shared" si="305"/>
        <v>0.99999999601820655</v>
      </c>
      <c r="R208" s="348">
        <v>116805654.66</v>
      </c>
      <c r="S208" s="73">
        <f t="shared" si="306"/>
        <v>0.99999999601820655</v>
      </c>
      <c r="T208" s="76">
        <v>22215686.48</v>
      </c>
      <c r="U208" s="76"/>
      <c r="V208" s="76">
        <v>20546507.050000001</v>
      </c>
      <c r="W208" s="76">
        <v>0</v>
      </c>
      <c r="X208" s="76">
        <v>0</v>
      </c>
      <c r="Y208" s="76">
        <f t="shared" si="282"/>
        <v>42762193.530000001</v>
      </c>
      <c r="Z208" s="348">
        <f t="shared" si="248"/>
        <v>22215686.48</v>
      </c>
      <c r="AA208" s="348"/>
      <c r="AB208" s="125"/>
      <c r="AC208" s="111">
        <f t="shared" si="307"/>
        <v>42762193.530000001</v>
      </c>
      <c r="AD208" s="73">
        <f t="shared" si="308"/>
        <v>0.36609694525665509</v>
      </c>
      <c r="AE208" s="125">
        <v>0</v>
      </c>
      <c r="AF208" s="166">
        <f t="shared" si="283"/>
        <v>0.46509599685668945</v>
      </c>
      <c r="AG208" s="167">
        <f t="shared" si="309"/>
        <v>3.9817934872980511E-9</v>
      </c>
      <c r="AH208" s="157" t="s">
        <v>390</v>
      </c>
      <c r="AI208" s="229">
        <v>137418417.835572</v>
      </c>
      <c r="AJ208" s="238" t="s">
        <v>409</v>
      </c>
      <c r="AK208" s="348">
        <v>0</v>
      </c>
      <c r="AL208" s="348">
        <v>0</v>
      </c>
      <c r="AM208" s="92">
        <f t="shared" si="250"/>
        <v>0</v>
      </c>
      <c r="AN208" s="348"/>
      <c r="AO208" s="348">
        <f t="shared" si="291"/>
        <v>0</v>
      </c>
      <c r="AP208" s="92"/>
      <c r="AQ208" s="92"/>
      <c r="AR208" s="92">
        <f t="shared" si="230"/>
        <v>0</v>
      </c>
      <c r="AS208" s="92"/>
      <c r="AT208" s="92"/>
      <c r="AU208" s="382"/>
      <c r="AV208" s="256"/>
      <c r="AW208" s="289"/>
    </row>
    <row r="209" spans="1:49" s="80" customFormat="1" ht="50.45" customHeight="1">
      <c r="A209" s="375" t="s">
        <v>112</v>
      </c>
      <c r="B209" s="69" t="s">
        <v>631</v>
      </c>
      <c r="C209" s="70" t="s">
        <v>171</v>
      </c>
      <c r="D209" s="70" t="s">
        <v>168</v>
      </c>
      <c r="E209" s="104">
        <v>64631943</v>
      </c>
      <c r="F209" s="104">
        <f t="shared" si="301"/>
        <v>45423588.068172</v>
      </c>
      <c r="G209" s="79">
        <v>64631943</v>
      </c>
      <c r="H209" s="79">
        <f t="shared" si="302"/>
        <v>45423588.068172</v>
      </c>
      <c r="I209" s="104">
        <v>64631943</v>
      </c>
      <c r="J209" s="348">
        <f t="shared" si="303"/>
        <v>45423588.068172</v>
      </c>
      <c r="K209" s="348">
        <v>45423588.068172</v>
      </c>
      <c r="L209" s="348">
        <v>45423588</v>
      </c>
      <c r="M209" s="125">
        <f t="shared" si="246"/>
        <v>0.99999999849919385</v>
      </c>
      <c r="N209" s="348"/>
      <c r="O209" s="127">
        <f t="shared" si="304"/>
        <v>0</v>
      </c>
      <c r="P209" s="348">
        <v>45423588</v>
      </c>
      <c r="Q209" s="73">
        <f t="shared" si="305"/>
        <v>0.99999999849919385</v>
      </c>
      <c r="R209" s="348">
        <v>41114034</v>
      </c>
      <c r="S209" s="73">
        <f t="shared" si="306"/>
        <v>0.9051251948281982</v>
      </c>
      <c r="T209" s="76">
        <v>185968.58</v>
      </c>
      <c r="U209" s="76"/>
      <c r="V209" s="76"/>
      <c r="W209" s="76">
        <v>0</v>
      </c>
      <c r="X209" s="76">
        <v>0</v>
      </c>
      <c r="Y209" s="76">
        <f t="shared" si="282"/>
        <v>185968.58</v>
      </c>
      <c r="Z209" s="348">
        <f t="shared" si="248"/>
        <v>185968.58</v>
      </c>
      <c r="AA209" s="348"/>
      <c r="AB209" s="125"/>
      <c r="AC209" s="111">
        <f t="shared" si="307"/>
        <v>185968.58</v>
      </c>
      <c r="AD209" s="73">
        <f t="shared" si="308"/>
        <v>4.0940970960043318E-3</v>
      </c>
      <c r="AE209" s="125">
        <v>0</v>
      </c>
      <c r="AF209" s="166">
        <f t="shared" si="283"/>
        <v>4309554.0681720003</v>
      </c>
      <c r="AG209" s="167">
        <f t="shared" si="309"/>
        <v>9.4874805171801815E-2</v>
      </c>
      <c r="AH209" s="157" t="s">
        <v>391</v>
      </c>
      <c r="AI209" s="229">
        <v>53439515.37432</v>
      </c>
      <c r="AJ209" s="238" t="s">
        <v>409</v>
      </c>
      <c r="AK209" s="348">
        <v>0</v>
      </c>
      <c r="AL209" s="348">
        <v>0</v>
      </c>
      <c r="AM209" s="92">
        <f t="shared" si="250"/>
        <v>0</v>
      </c>
      <c r="AN209" s="348"/>
      <c r="AO209" s="348">
        <f t="shared" si="291"/>
        <v>0</v>
      </c>
      <c r="AP209" s="92"/>
      <c r="AQ209" s="92"/>
      <c r="AR209" s="92">
        <f t="shared" si="230"/>
        <v>0</v>
      </c>
      <c r="AS209" s="92"/>
      <c r="AT209" s="92"/>
      <c r="AU209" s="382"/>
      <c r="AV209" s="256"/>
      <c r="AW209" s="289"/>
    </row>
    <row r="210" spans="1:49" s="80" customFormat="1" ht="57" customHeight="1">
      <c r="A210" s="375" t="s">
        <v>230</v>
      </c>
      <c r="B210" s="69" t="s">
        <v>632</v>
      </c>
      <c r="C210" s="70" t="s">
        <v>171</v>
      </c>
      <c r="D210" s="70" t="s">
        <v>168</v>
      </c>
      <c r="E210" s="104">
        <v>29096061</v>
      </c>
      <c r="F210" s="104">
        <f t="shared" si="301"/>
        <v>20448828.055043999</v>
      </c>
      <c r="G210" s="104">
        <v>29096061</v>
      </c>
      <c r="H210" s="79">
        <f t="shared" si="302"/>
        <v>20448828.055043999</v>
      </c>
      <c r="I210" s="104">
        <v>29096061</v>
      </c>
      <c r="J210" s="348">
        <f t="shared" si="303"/>
        <v>20448828.055043999</v>
      </c>
      <c r="K210" s="348">
        <v>20448828.055043999</v>
      </c>
      <c r="L210" s="348">
        <v>20393340.420000002</v>
      </c>
      <c r="M210" s="125">
        <f t="shared" si="246"/>
        <v>0.99728651270896129</v>
      </c>
      <c r="N210" s="348"/>
      <c r="O210" s="127">
        <f t="shared" si="304"/>
        <v>0</v>
      </c>
      <c r="P210" s="348">
        <v>20393340.420000002</v>
      </c>
      <c r="Q210" s="73">
        <f t="shared" si="305"/>
        <v>0.99728651270896129</v>
      </c>
      <c r="R210" s="348">
        <v>20393340.420000002</v>
      </c>
      <c r="S210" s="73">
        <f t="shared" si="306"/>
        <v>0.99728651270896129</v>
      </c>
      <c r="T210" s="76">
        <v>13407464.310000001</v>
      </c>
      <c r="U210" s="76"/>
      <c r="V210" s="76">
        <v>4078668.84</v>
      </c>
      <c r="W210" s="76">
        <v>0</v>
      </c>
      <c r="X210" s="76">
        <v>0</v>
      </c>
      <c r="Y210" s="76">
        <f t="shared" si="282"/>
        <v>17486133.149999999</v>
      </c>
      <c r="Z210" s="348">
        <f t="shared" si="248"/>
        <v>13407464.310000001</v>
      </c>
      <c r="AA210" s="348"/>
      <c r="AB210" s="125"/>
      <c r="AC210" s="111">
        <f t="shared" si="307"/>
        <v>17486133.149999999</v>
      </c>
      <c r="AD210" s="73">
        <f t="shared" si="308"/>
        <v>0.85511664056888537</v>
      </c>
      <c r="AE210" s="125">
        <v>3.2561758942108352E-3</v>
      </c>
      <c r="AF210" s="166">
        <f t="shared" si="283"/>
        <v>55487.635043997318</v>
      </c>
      <c r="AG210" s="167">
        <f t="shared" si="309"/>
        <v>2.7134872910386906E-3</v>
      </c>
      <c r="AH210" s="157" t="s">
        <v>392</v>
      </c>
      <c r="AI210" s="229">
        <v>24057445.473444</v>
      </c>
      <c r="AJ210" s="238" t="s">
        <v>409</v>
      </c>
      <c r="AK210" s="348">
        <v>0</v>
      </c>
      <c r="AL210" s="348">
        <v>0</v>
      </c>
      <c r="AM210" s="92">
        <f t="shared" si="250"/>
        <v>0</v>
      </c>
      <c r="AN210" s="348"/>
      <c r="AO210" s="348">
        <f t="shared" si="291"/>
        <v>0</v>
      </c>
      <c r="AP210" s="92"/>
      <c r="AQ210" s="92"/>
      <c r="AR210" s="92">
        <f t="shared" si="230"/>
        <v>0</v>
      </c>
      <c r="AS210" s="92"/>
      <c r="AT210" s="92"/>
      <c r="AU210" s="382"/>
      <c r="AV210" s="256"/>
      <c r="AW210" s="289"/>
    </row>
    <row r="211" spans="1:49" s="100" customFormat="1" ht="72.75" customHeight="1">
      <c r="A211" s="375" t="s">
        <v>154</v>
      </c>
      <c r="B211" s="69" t="s">
        <v>633</v>
      </c>
      <c r="C211" s="70" t="s">
        <v>171</v>
      </c>
      <c r="D211" s="70" t="s">
        <v>687</v>
      </c>
      <c r="E211" s="104">
        <v>15750000</v>
      </c>
      <c r="F211" s="104">
        <f t="shared" si="301"/>
        <v>11069163</v>
      </c>
      <c r="G211" s="79">
        <v>15750000</v>
      </c>
      <c r="H211" s="79">
        <f t="shared" si="302"/>
        <v>11069163</v>
      </c>
      <c r="I211" s="104">
        <v>15750000</v>
      </c>
      <c r="J211" s="348">
        <f t="shared" si="303"/>
        <v>11069163</v>
      </c>
      <c r="K211" s="348">
        <v>11069163</v>
      </c>
      <c r="L211" s="348">
        <v>11069162.4</v>
      </c>
      <c r="M211" s="125">
        <f t="shared" si="246"/>
        <v>0.99999994579535967</v>
      </c>
      <c r="N211" s="348"/>
      <c r="O211" s="127">
        <f t="shared" si="304"/>
        <v>0</v>
      </c>
      <c r="P211" s="348">
        <v>0</v>
      </c>
      <c r="Q211" s="73">
        <f t="shared" si="305"/>
        <v>0</v>
      </c>
      <c r="R211" s="348">
        <v>0</v>
      </c>
      <c r="S211" s="73">
        <f t="shared" si="306"/>
        <v>0</v>
      </c>
      <c r="T211" s="76">
        <v>0</v>
      </c>
      <c r="U211" s="76">
        <v>0</v>
      </c>
      <c r="V211" s="76">
        <v>0</v>
      </c>
      <c r="W211" s="76">
        <v>0</v>
      </c>
      <c r="X211" s="76">
        <v>0</v>
      </c>
      <c r="Y211" s="76">
        <f t="shared" si="282"/>
        <v>0</v>
      </c>
      <c r="Z211" s="348">
        <f t="shared" si="248"/>
        <v>0</v>
      </c>
      <c r="AA211" s="348"/>
      <c r="AB211" s="125"/>
      <c r="AC211" s="111">
        <f t="shared" si="307"/>
        <v>0</v>
      </c>
      <c r="AD211" s="73">
        <f t="shared" si="308"/>
        <v>0</v>
      </c>
      <c r="AE211" s="125"/>
      <c r="AF211" s="166">
        <f t="shared" si="283"/>
        <v>11069163</v>
      </c>
      <c r="AG211" s="167">
        <f t="shared" si="309"/>
        <v>1</v>
      </c>
      <c r="AH211" s="154" t="s">
        <v>375</v>
      </c>
      <c r="AI211" s="209">
        <v>13022544.871247999</v>
      </c>
      <c r="AJ211" s="238" t="s">
        <v>409</v>
      </c>
      <c r="AK211" s="348">
        <f>J211*AM211</f>
        <v>0</v>
      </c>
      <c r="AL211" s="348">
        <v>0</v>
      </c>
      <c r="AM211" s="92">
        <f t="shared" si="250"/>
        <v>0</v>
      </c>
      <c r="AN211" s="348"/>
      <c r="AO211" s="348">
        <f t="shared" si="291"/>
        <v>0</v>
      </c>
      <c r="AP211" s="92"/>
      <c r="AQ211" s="92"/>
      <c r="AR211" s="92">
        <f t="shared" si="230"/>
        <v>0</v>
      </c>
      <c r="AS211" s="92"/>
      <c r="AT211" s="92"/>
      <c r="AU211" s="382"/>
      <c r="AV211" s="255"/>
      <c r="AW211" s="289"/>
    </row>
    <row r="212" spans="1:49" s="80" customFormat="1" ht="62.45" customHeight="1">
      <c r="A212" s="373" t="s">
        <v>113</v>
      </c>
      <c r="B212" s="64" t="s">
        <v>634</v>
      </c>
      <c r="C212" s="65" t="s">
        <v>171</v>
      </c>
      <c r="D212" s="65" t="s">
        <v>168</v>
      </c>
      <c r="E212" s="105"/>
      <c r="F212" s="90">
        <f>F213</f>
        <v>100079289.59999999</v>
      </c>
      <c r="G212" s="90"/>
      <c r="H212" s="90">
        <f>H213</f>
        <v>100079289.59999999</v>
      </c>
      <c r="I212" s="90"/>
      <c r="J212" s="347">
        <f>J213</f>
        <v>100079289.59999999</v>
      </c>
      <c r="K212" s="347">
        <f t="shared" ref="K212:AL212" si="310">K213</f>
        <v>100079289.59999999</v>
      </c>
      <c r="L212" s="347">
        <f t="shared" si="310"/>
        <v>100079289</v>
      </c>
      <c r="M212" s="347">
        <f t="shared" si="310"/>
        <v>0.9999999940047537</v>
      </c>
      <c r="N212" s="347">
        <f t="shared" si="310"/>
        <v>0</v>
      </c>
      <c r="O212" s="347">
        <f t="shared" si="310"/>
        <v>0</v>
      </c>
      <c r="P212" s="347">
        <f t="shared" si="310"/>
        <v>100079289</v>
      </c>
      <c r="Q212" s="347">
        <f t="shared" si="310"/>
        <v>0.9999999940047537</v>
      </c>
      <c r="R212" s="347">
        <f t="shared" si="310"/>
        <v>100079289</v>
      </c>
      <c r="S212" s="347">
        <f t="shared" si="310"/>
        <v>0.9999999940047537</v>
      </c>
      <c r="T212" s="347">
        <f t="shared" si="310"/>
        <v>0</v>
      </c>
      <c r="U212" s="347">
        <f t="shared" si="310"/>
        <v>0</v>
      </c>
      <c r="V212" s="347">
        <f t="shared" si="310"/>
        <v>22274836</v>
      </c>
      <c r="W212" s="347">
        <f t="shared" si="310"/>
        <v>0</v>
      </c>
      <c r="X212" s="347">
        <f t="shared" si="310"/>
        <v>0</v>
      </c>
      <c r="Y212" s="347">
        <f t="shared" si="310"/>
        <v>22274836</v>
      </c>
      <c r="Z212" s="347">
        <f t="shared" si="310"/>
        <v>0</v>
      </c>
      <c r="AA212" s="347">
        <f t="shared" si="310"/>
        <v>0</v>
      </c>
      <c r="AB212" s="347">
        <f t="shared" si="310"/>
        <v>0</v>
      </c>
      <c r="AC212" s="347">
        <f t="shared" si="310"/>
        <v>22274836</v>
      </c>
      <c r="AD212" s="347">
        <f t="shared" si="310"/>
        <v>0.22257188364374642</v>
      </c>
      <c r="AE212" s="347">
        <f t="shared" si="310"/>
        <v>0</v>
      </c>
      <c r="AF212" s="347">
        <f t="shared" si="310"/>
        <v>0</v>
      </c>
      <c r="AG212" s="347">
        <f t="shared" si="310"/>
        <v>0</v>
      </c>
      <c r="AH212" s="347" t="str">
        <f t="shared" si="310"/>
        <v>Sasniedzamie rezultāti:
1) iegādāto trīsvagonu dzīzeļvilcienu skaits - 7;
2) iegādāto jaunu elektrovilcienu skits- 34.</v>
      </c>
      <c r="AI212" s="347">
        <f t="shared" si="310"/>
        <v>117740340.87124799</v>
      </c>
      <c r="AJ212" s="237" t="str">
        <f t="shared" si="310"/>
        <v>Nē</v>
      </c>
      <c r="AK212" s="347">
        <f>AK213</f>
        <v>0</v>
      </c>
      <c r="AL212" s="347">
        <f t="shared" si="310"/>
        <v>0</v>
      </c>
      <c r="AM212" s="92">
        <f t="shared" si="250"/>
        <v>0</v>
      </c>
      <c r="AN212" s="99"/>
      <c r="AO212" s="347">
        <f t="shared" si="291"/>
        <v>0</v>
      </c>
      <c r="AP212" s="347">
        <f>AP213</f>
        <v>0</v>
      </c>
      <c r="AQ212" s="347">
        <f>AQ213</f>
        <v>0</v>
      </c>
      <c r="AR212" s="92">
        <f t="shared" ref="AR212:AR262" si="311">AQ212/K212</f>
        <v>0</v>
      </c>
      <c r="AS212" s="93"/>
      <c r="AT212" s="93"/>
      <c r="AU212" s="380"/>
      <c r="AV212" s="256"/>
      <c r="AW212" s="289"/>
    </row>
    <row r="213" spans="1:49" s="94" customFormat="1" ht="67.150000000000006" customHeight="1">
      <c r="A213" s="375" t="s">
        <v>114</v>
      </c>
      <c r="B213" s="69" t="s">
        <v>635</v>
      </c>
      <c r="C213" s="70" t="s">
        <v>171</v>
      </c>
      <c r="D213" s="70" t="s">
        <v>168</v>
      </c>
      <c r="E213" s="104">
        <v>142400000</v>
      </c>
      <c r="F213" s="104">
        <f>E213*$E$6</f>
        <v>100079289.59999999</v>
      </c>
      <c r="G213" s="79">
        <v>142400000</v>
      </c>
      <c r="H213" s="79">
        <f>G213*$G$6</f>
        <v>100079289.59999999</v>
      </c>
      <c r="I213" s="79">
        <v>142400000</v>
      </c>
      <c r="J213" s="348">
        <f>I213*$I$6</f>
        <v>100079289.59999999</v>
      </c>
      <c r="K213" s="348">
        <v>100079289.59999999</v>
      </c>
      <c r="L213" s="348">
        <v>100079289</v>
      </c>
      <c r="M213" s="125">
        <f t="shared" si="246"/>
        <v>0.9999999940047537</v>
      </c>
      <c r="N213" s="348"/>
      <c r="O213" s="127">
        <f t="shared" si="304"/>
        <v>0</v>
      </c>
      <c r="P213" s="348">
        <v>100079289</v>
      </c>
      <c r="Q213" s="73">
        <f t="shared" si="305"/>
        <v>0.9999999940047537</v>
      </c>
      <c r="R213" s="348">
        <v>100079289</v>
      </c>
      <c r="S213" s="73">
        <f t="shared" si="306"/>
        <v>0.9999999940047537</v>
      </c>
      <c r="T213" s="76">
        <v>0</v>
      </c>
      <c r="U213" s="76">
        <v>0</v>
      </c>
      <c r="V213" s="76">
        <v>22274836</v>
      </c>
      <c r="W213" s="76">
        <v>0</v>
      </c>
      <c r="X213" s="76">
        <v>0</v>
      </c>
      <c r="Y213" s="76">
        <f t="shared" si="282"/>
        <v>22274836</v>
      </c>
      <c r="Z213" s="348">
        <f t="shared" si="248"/>
        <v>0</v>
      </c>
      <c r="AA213" s="348"/>
      <c r="AB213" s="125"/>
      <c r="AC213" s="111">
        <f>SUM(T213:V213)</f>
        <v>22274836</v>
      </c>
      <c r="AD213" s="73">
        <f t="shared" si="308"/>
        <v>0.22257188364374642</v>
      </c>
      <c r="AE213" s="125">
        <v>0</v>
      </c>
      <c r="AF213" s="166">
        <v>0</v>
      </c>
      <c r="AG213" s="167">
        <f t="shared" si="309"/>
        <v>0</v>
      </c>
      <c r="AH213" s="158" t="s">
        <v>393</v>
      </c>
      <c r="AI213" s="226">
        <v>117740340.87124799</v>
      </c>
      <c r="AJ213" s="238" t="s">
        <v>409</v>
      </c>
      <c r="AK213" s="348">
        <v>0</v>
      </c>
      <c r="AL213" s="348">
        <v>0</v>
      </c>
      <c r="AM213" s="92">
        <f t="shared" si="250"/>
        <v>0</v>
      </c>
      <c r="AN213" s="348"/>
      <c r="AO213" s="348">
        <f t="shared" si="291"/>
        <v>0</v>
      </c>
      <c r="AP213" s="92"/>
      <c r="AQ213" s="92"/>
      <c r="AR213" s="92">
        <f t="shared" si="311"/>
        <v>0</v>
      </c>
      <c r="AS213" s="92"/>
      <c r="AT213" s="92"/>
      <c r="AU213" s="382"/>
      <c r="AV213" s="255"/>
      <c r="AW213" s="289"/>
    </row>
    <row r="214" spans="1:49" s="94" customFormat="1" ht="66" customHeight="1">
      <c r="A214" s="373" t="s">
        <v>115</v>
      </c>
      <c r="B214" s="64" t="s">
        <v>636</v>
      </c>
      <c r="C214" s="65" t="s">
        <v>56</v>
      </c>
      <c r="D214" s="65" t="s">
        <v>138</v>
      </c>
      <c r="E214" s="105"/>
      <c r="F214" s="90">
        <f>F215+F222+F228+F232</f>
        <v>226939884.24465597</v>
      </c>
      <c r="G214" s="90"/>
      <c r="H214" s="90">
        <f>H215+H222+H228+H232</f>
        <v>226939884.24465597</v>
      </c>
      <c r="I214" s="90"/>
      <c r="J214" s="347">
        <f>J215+J222+J228+J232</f>
        <v>226939884.24465597</v>
      </c>
      <c r="K214" s="347">
        <f t="shared" ref="K214:AI214" si="312">K215+K222+K228+K232</f>
        <v>239061838.50020397</v>
      </c>
      <c r="L214" s="347">
        <f t="shared" si="312"/>
        <v>215747636.5200001</v>
      </c>
      <c r="M214" s="347">
        <f t="shared" si="312"/>
        <v>16.940469531616664</v>
      </c>
      <c r="N214" s="347">
        <f t="shared" si="312"/>
        <v>51098350.43</v>
      </c>
      <c r="O214" s="347">
        <f t="shared" si="312"/>
        <v>6.4345713633445154</v>
      </c>
      <c r="P214" s="347">
        <f t="shared" si="312"/>
        <v>151817035.51999998</v>
      </c>
      <c r="Q214" s="347">
        <f t="shared" si="312"/>
        <v>9.6371623680094434</v>
      </c>
      <c r="R214" s="347">
        <f t="shared" si="312"/>
        <v>148938634.40000001</v>
      </c>
      <c r="S214" s="347">
        <f t="shared" si="312"/>
        <v>9.5789777662840798</v>
      </c>
      <c r="T214" s="347">
        <f t="shared" si="312"/>
        <v>34635241.399999999</v>
      </c>
      <c r="U214" s="347">
        <f t="shared" si="312"/>
        <v>0</v>
      </c>
      <c r="V214" s="347">
        <f t="shared" si="312"/>
        <v>27450602.509999998</v>
      </c>
      <c r="W214" s="347">
        <f t="shared" si="312"/>
        <v>5950372.3700000113</v>
      </c>
      <c r="X214" s="347">
        <f t="shared" si="312"/>
        <v>309660.64</v>
      </c>
      <c r="Y214" s="347">
        <f t="shared" si="312"/>
        <v>61776183.269999996</v>
      </c>
      <c r="Z214" s="347">
        <f t="shared" si="312"/>
        <v>40585613.770000011</v>
      </c>
      <c r="AA214" s="347">
        <f t="shared" si="312"/>
        <v>5406248.7100000009</v>
      </c>
      <c r="AB214" s="347">
        <f t="shared" si="312"/>
        <v>0.34576573691252677</v>
      </c>
      <c r="AC214" s="347">
        <f t="shared" si="312"/>
        <v>62085843.909999996</v>
      </c>
      <c r="AD214" s="347">
        <f t="shared" si="312"/>
        <v>2.9646061515999658</v>
      </c>
      <c r="AE214" s="347">
        <f t="shared" si="312"/>
        <v>0.14062952186394029</v>
      </c>
      <c r="AF214" s="347">
        <f t="shared" si="312"/>
        <v>78001249.844655991</v>
      </c>
      <c r="AG214" s="347" t="e">
        <f t="shared" si="312"/>
        <v>#DIV/0!</v>
      </c>
      <c r="AH214" s="347" t="e">
        <f t="shared" si="312"/>
        <v>#VALUE!</v>
      </c>
      <c r="AI214" s="347">
        <f t="shared" si="312"/>
        <v>298237513.61780399</v>
      </c>
      <c r="AJ214" s="237" t="s">
        <v>409</v>
      </c>
      <c r="AK214" s="347">
        <f>AK215+AK222+AK228+AK232</f>
        <v>15000000</v>
      </c>
      <c r="AL214" s="347">
        <f t="shared" ref="AL214" si="313">AL215+AL222+AL228+AL232</f>
        <v>15000000</v>
      </c>
      <c r="AM214" s="306">
        <f t="shared" si="250"/>
        <v>6.2745271659019733E-2</v>
      </c>
      <c r="AN214" s="176"/>
      <c r="AO214" s="347">
        <f t="shared" si="291"/>
        <v>15000000</v>
      </c>
      <c r="AP214" s="347">
        <f>AP215+AP222+AP228+AP232</f>
        <v>15000000</v>
      </c>
      <c r="AQ214" s="347">
        <f>AQ215+AQ222+AQ228+AQ232</f>
        <v>15000000</v>
      </c>
      <c r="AR214" s="306">
        <f t="shared" si="311"/>
        <v>6.2745271659019733E-2</v>
      </c>
      <c r="AS214" s="92"/>
      <c r="AT214" s="92"/>
      <c r="AU214" s="380"/>
      <c r="AV214" s="255"/>
      <c r="AW214" s="289"/>
    </row>
    <row r="215" spans="1:49" s="80" customFormat="1" ht="64.5" customHeight="1">
      <c r="A215" s="373" t="s">
        <v>116</v>
      </c>
      <c r="B215" s="64" t="s">
        <v>637</v>
      </c>
      <c r="C215" s="65" t="s">
        <v>56</v>
      </c>
      <c r="D215" s="65" t="s">
        <v>687</v>
      </c>
      <c r="E215" s="105"/>
      <c r="F215" s="90">
        <f>F216+F217+F218+F219</f>
        <v>136883295.841932</v>
      </c>
      <c r="G215" s="90"/>
      <c r="H215" s="90">
        <f>H216+H217+H218+H220+H221</f>
        <v>136883295.841932</v>
      </c>
      <c r="I215" s="90"/>
      <c r="J215" s="347">
        <f>J216+J217+J218+J219</f>
        <v>136883295.841932</v>
      </c>
      <c r="K215" s="347">
        <f t="shared" ref="K215:AI215" si="314">K216+K217+K218+K219</f>
        <v>149005250.09748</v>
      </c>
      <c r="L215" s="347">
        <f t="shared" si="314"/>
        <v>101873446.32000011</v>
      </c>
      <c r="M215" s="347">
        <f t="shared" si="314"/>
        <v>4.5515991782133804</v>
      </c>
      <c r="N215" s="347">
        <f t="shared" si="314"/>
        <v>10131689.59</v>
      </c>
      <c r="O215" s="347">
        <f t="shared" si="314"/>
        <v>0.63320268617465958</v>
      </c>
      <c r="P215" s="347">
        <f t="shared" si="314"/>
        <v>83322161.799999997</v>
      </c>
      <c r="Q215" s="347">
        <f t="shared" si="314"/>
        <v>3.4587261515312395</v>
      </c>
      <c r="R215" s="347">
        <f t="shared" si="314"/>
        <v>83133133.700000003</v>
      </c>
      <c r="S215" s="347">
        <f t="shared" si="314"/>
        <v>3.4568517653868849</v>
      </c>
      <c r="T215" s="347">
        <f t="shared" si="314"/>
        <v>24123584.979999997</v>
      </c>
      <c r="U215" s="347">
        <f t="shared" si="314"/>
        <v>0</v>
      </c>
      <c r="V215" s="347">
        <f t="shared" si="314"/>
        <v>22089262.5</v>
      </c>
      <c r="W215" s="347">
        <f t="shared" si="314"/>
        <v>4502217.0800000103</v>
      </c>
      <c r="X215" s="347">
        <f t="shared" si="314"/>
        <v>238895.04</v>
      </c>
      <c r="Y215" s="347">
        <f t="shared" si="314"/>
        <v>45973952.440000005</v>
      </c>
      <c r="Z215" s="347">
        <f t="shared" si="314"/>
        <v>28625802.06000001</v>
      </c>
      <c r="AA215" s="347">
        <f t="shared" si="314"/>
        <v>2512409.6800000002</v>
      </c>
      <c r="AB215" s="347">
        <f t="shared" si="314"/>
        <v>2.4912835145329857E-2</v>
      </c>
      <c r="AC215" s="347">
        <f t="shared" si="314"/>
        <v>46212847.480000004</v>
      </c>
      <c r="AD215" s="347">
        <f t="shared" si="314"/>
        <v>1.1386279436941</v>
      </c>
      <c r="AE215" s="347">
        <f t="shared" si="314"/>
        <v>3.8010228362715115E-2</v>
      </c>
      <c r="AF215" s="347">
        <f t="shared" si="314"/>
        <v>53750162.141932003</v>
      </c>
      <c r="AG215" s="347">
        <f t="shared" si="314"/>
        <v>1.5431482346131153</v>
      </c>
      <c r="AH215" s="347" t="e">
        <f t="shared" si="314"/>
        <v>#VALUE!</v>
      </c>
      <c r="AI215" s="347">
        <f t="shared" si="314"/>
        <v>165273614.420268</v>
      </c>
      <c r="AJ215" s="237" t="s">
        <v>409</v>
      </c>
      <c r="AK215" s="347">
        <f>AK216+AK217+AK218+AK219</f>
        <v>0</v>
      </c>
      <c r="AL215" s="347">
        <f t="shared" ref="AL215" si="315">AL216+AL217+AL218+AL219</f>
        <v>0</v>
      </c>
      <c r="AM215" s="306">
        <f t="shared" si="250"/>
        <v>0</v>
      </c>
      <c r="AN215" s="73"/>
      <c r="AO215" s="347">
        <f t="shared" si="291"/>
        <v>0</v>
      </c>
      <c r="AP215" s="347">
        <f>AP216+AP217+AP218+AP219</f>
        <v>0</v>
      </c>
      <c r="AQ215" s="347">
        <f>AQ216+AQ217+AQ218+AQ219</f>
        <v>0</v>
      </c>
      <c r="AR215" s="306">
        <f t="shared" si="311"/>
        <v>0</v>
      </c>
      <c r="AS215" s="92"/>
      <c r="AT215" s="92"/>
      <c r="AU215" s="380"/>
      <c r="AV215" s="256"/>
      <c r="AW215" s="289"/>
    </row>
    <row r="216" spans="1:49" s="80" customFormat="1" ht="99" customHeight="1">
      <c r="A216" s="375" t="s">
        <v>308</v>
      </c>
      <c r="B216" s="69" t="s">
        <v>638</v>
      </c>
      <c r="C216" s="70" t="s">
        <v>56</v>
      </c>
      <c r="D216" s="70" t="s">
        <v>687</v>
      </c>
      <c r="E216" s="104">
        <v>143493781</v>
      </c>
      <c r="F216" s="104">
        <f>E216*$E$6</f>
        <v>100848003.261924</v>
      </c>
      <c r="G216" s="79">
        <v>143493781</v>
      </c>
      <c r="H216" s="79">
        <f>G216*$G$6</f>
        <v>100848003.261924</v>
      </c>
      <c r="I216" s="104">
        <v>143493781</v>
      </c>
      <c r="J216" s="348">
        <f>I216*$I$6</f>
        <v>100848003.261924</v>
      </c>
      <c r="K216" s="348">
        <v>102955000.517472</v>
      </c>
      <c r="L216" s="348">
        <v>64328104.350000098</v>
      </c>
      <c r="M216" s="125">
        <f t="shared" si="246"/>
        <v>0.63787186924193384</v>
      </c>
      <c r="N216" s="348">
        <v>4264767.5599999996</v>
      </c>
      <c r="O216" s="127">
        <f t="shared" si="304"/>
        <v>4.2289062966606082E-2</v>
      </c>
      <c r="P216" s="348">
        <v>57613962.289999999</v>
      </c>
      <c r="Q216" s="73">
        <f t="shared" si="305"/>
        <v>0.57129502247420927</v>
      </c>
      <c r="R216" s="348">
        <v>57424934.189999998</v>
      </c>
      <c r="S216" s="73">
        <f t="shared" si="306"/>
        <v>0.5694206363298544</v>
      </c>
      <c r="T216" s="76">
        <v>16424835.27</v>
      </c>
      <c r="U216" s="76"/>
      <c r="V216" s="76">
        <v>21918492.149999999</v>
      </c>
      <c r="W216" s="76">
        <v>4502217.0800000103</v>
      </c>
      <c r="X216" s="76">
        <v>238895.04</v>
      </c>
      <c r="Y216" s="76">
        <f t="shared" si="282"/>
        <v>38104432.380000003</v>
      </c>
      <c r="Z216" s="348">
        <f t="shared" ref="Z216:Z259" si="316">T216+U216+W216</f>
        <v>20927052.350000009</v>
      </c>
      <c r="AA216" s="348">
        <v>2512409.6800000002</v>
      </c>
      <c r="AB216" s="131">
        <f>AA216/J216</f>
        <v>2.4912835145329857E-2</v>
      </c>
      <c r="AC216" s="111">
        <f t="shared" ref="AC216:AC221" si="317">SUM(T216:V216)</f>
        <v>38343327.420000002</v>
      </c>
      <c r="AD216" s="73">
        <f t="shared" si="308"/>
        <v>0.38020908872547649</v>
      </c>
      <c r="AE216" s="125">
        <v>3.766771598576997E-2</v>
      </c>
      <c r="AF216" s="166">
        <f t="shared" ref="AF216:AF247" si="318">J216-R216</f>
        <v>43423069.071924001</v>
      </c>
      <c r="AG216" s="167">
        <f t="shared" si="309"/>
        <v>0.4305793636701456</v>
      </c>
      <c r="AH216" s="154" t="s">
        <v>416</v>
      </c>
      <c r="AI216" s="209">
        <v>118644711.16686</v>
      </c>
      <c r="AJ216" s="238" t="s">
        <v>409</v>
      </c>
      <c r="AK216" s="348">
        <v>0</v>
      </c>
      <c r="AL216" s="348">
        <v>0</v>
      </c>
      <c r="AM216" s="92">
        <f t="shared" si="250"/>
        <v>0</v>
      </c>
      <c r="AN216" s="73"/>
      <c r="AO216" s="348">
        <f t="shared" si="291"/>
        <v>0</v>
      </c>
      <c r="AP216" s="301"/>
      <c r="AQ216" s="301"/>
      <c r="AR216" s="92">
        <f t="shared" si="311"/>
        <v>0</v>
      </c>
      <c r="AS216" s="301"/>
      <c r="AT216" s="301"/>
      <c r="AU216" s="382"/>
      <c r="AV216" s="256"/>
      <c r="AW216" s="289"/>
    </row>
    <row r="217" spans="1:49" s="80" customFormat="1" ht="78" customHeight="1">
      <c r="A217" s="375" t="s">
        <v>117</v>
      </c>
      <c r="B217" s="69" t="s">
        <v>639</v>
      </c>
      <c r="C217" s="70" t="s">
        <v>56</v>
      </c>
      <c r="D217" s="70" t="s">
        <v>687</v>
      </c>
      <c r="E217" s="104">
        <v>3023602</v>
      </c>
      <c r="F217" s="104">
        <f>E217*$E$6</f>
        <v>2124999.5800080001</v>
      </c>
      <c r="G217" s="79">
        <v>3023602</v>
      </c>
      <c r="H217" s="79">
        <f>G217*$G$6</f>
        <v>2124999.5800080001</v>
      </c>
      <c r="I217" s="104">
        <v>3023602</v>
      </c>
      <c r="J217" s="348">
        <f>I217*$I$6</f>
        <v>2124999.5800080001</v>
      </c>
      <c r="K217" s="348">
        <v>2124999.5800080001</v>
      </c>
      <c r="L217" s="348">
        <v>2124999</v>
      </c>
      <c r="M217" s="125">
        <f t="shared" ref="M217:M234" si="319">L217/J217</f>
        <v>0.99999972705500484</v>
      </c>
      <c r="N217" s="348"/>
      <c r="O217" s="127">
        <f t="shared" si="304"/>
        <v>0</v>
      </c>
      <c r="P217" s="348">
        <v>2124999</v>
      </c>
      <c r="Q217" s="73">
        <f t="shared" si="305"/>
        <v>0.99999972705500484</v>
      </c>
      <c r="R217" s="348">
        <v>2124999</v>
      </c>
      <c r="S217" s="73">
        <f t="shared" si="306"/>
        <v>0.99999972705500484</v>
      </c>
      <c r="T217" s="76">
        <v>0</v>
      </c>
      <c r="U217" s="76">
        <v>0</v>
      </c>
      <c r="V217" s="76">
        <v>0</v>
      </c>
      <c r="W217" s="76">
        <v>0</v>
      </c>
      <c r="X217" s="76">
        <v>0</v>
      </c>
      <c r="Y217" s="76">
        <f t="shared" si="282"/>
        <v>0</v>
      </c>
      <c r="Z217" s="348">
        <f t="shared" si="316"/>
        <v>0</v>
      </c>
      <c r="AA217" s="348"/>
      <c r="AB217" s="125"/>
      <c r="AC217" s="111">
        <f t="shared" si="317"/>
        <v>0</v>
      </c>
      <c r="AD217" s="73">
        <f t="shared" si="308"/>
        <v>0</v>
      </c>
      <c r="AE217" s="125"/>
      <c r="AF217" s="166">
        <f t="shared" si="318"/>
        <v>0.58000800013542175</v>
      </c>
      <c r="AG217" s="167">
        <f t="shared" si="309"/>
        <v>2.7294499518594641E-7</v>
      </c>
      <c r="AH217" s="154" t="s">
        <v>371</v>
      </c>
      <c r="AI217" s="209">
        <v>2124999.5800080001</v>
      </c>
      <c r="AJ217" s="238" t="s">
        <v>409</v>
      </c>
      <c r="AK217" s="348">
        <v>0</v>
      </c>
      <c r="AL217" s="348">
        <v>0</v>
      </c>
      <c r="AM217" s="92">
        <f t="shared" ref="AM217:AM262" si="320">AL217/K217</f>
        <v>0</v>
      </c>
      <c r="AN217" s="348"/>
      <c r="AO217" s="348">
        <f t="shared" si="291"/>
        <v>0</v>
      </c>
      <c r="AP217" s="92"/>
      <c r="AQ217" s="92"/>
      <c r="AR217" s="92">
        <f t="shared" si="311"/>
        <v>0</v>
      </c>
      <c r="AS217" s="92"/>
      <c r="AT217" s="92"/>
      <c r="AU217" s="382"/>
      <c r="AV217" s="256"/>
      <c r="AW217" s="289"/>
    </row>
    <row r="218" spans="1:49" s="94" customFormat="1" ht="33.6" customHeight="1">
      <c r="A218" s="375" t="s">
        <v>118</v>
      </c>
      <c r="B218" s="69" t="s">
        <v>640</v>
      </c>
      <c r="C218" s="70" t="s">
        <v>56</v>
      </c>
      <c r="D218" s="70" t="s">
        <v>687</v>
      </c>
      <c r="E218" s="104">
        <v>33250000</v>
      </c>
      <c r="F218" s="104">
        <f>E218*$E$6</f>
        <v>23368233</v>
      </c>
      <c r="G218" s="79">
        <v>33250000</v>
      </c>
      <c r="H218" s="79">
        <f>G218*$G$6</f>
        <v>23368233</v>
      </c>
      <c r="I218" s="104">
        <v>33250000</v>
      </c>
      <c r="J218" s="348">
        <f>I218*$I$6</f>
        <v>23368233</v>
      </c>
      <c r="K218" s="348">
        <v>33383190</v>
      </c>
      <c r="L218" s="348">
        <v>26783844.32</v>
      </c>
      <c r="M218" s="125">
        <f t="shared" si="319"/>
        <v>1.1461647237084636</v>
      </c>
      <c r="N218" s="348">
        <v>4461314.03</v>
      </c>
      <c r="O218" s="127">
        <f t="shared" si="304"/>
        <v>0.19091362320805344</v>
      </c>
      <c r="P218" s="348">
        <v>18160439.149999999</v>
      </c>
      <c r="Q218" s="73">
        <f t="shared" si="305"/>
        <v>0.77714216346610365</v>
      </c>
      <c r="R218" s="348">
        <v>18160439.149999999</v>
      </c>
      <c r="S218" s="73">
        <f t="shared" si="306"/>
        <v>0.77714216346610365</v>
      </c>
      <c r="T218" s="76">
        <v>5421246.8799999999</v>
      </c>
      <c r="U218" s="76">
        <v>0</v>
      </c>
      <c r="V218" s="76">
        <v>0</v>
      </c>
      <c r="W218" s="76">
        <v>0</v>
      </c>
      <c r="X218" s="76">
        <v>0</v>
      </c>
      <c r="Y218" s="76">
        <f t="shared" si="282"/>
        <v>5421246.8799999999</v>
      </c>
      <c r="Z218" s="348">
        <f t="shared" si="316"/>
        <v>5421246.8799999999</v>
      </c>
      <c r="AA218" s="348"/>
      <c r="AB218" s="125"/>
      <c r="AC218" s="111">
        <f t="shared" si="317"/>
        <v>5421246.8799999999</v>
      </c>
      <c r="AD218" s="73">
        <f t="shared" si="308"/>
        <v>0.23199216132430722</v>
      </c>
      <c r="AE218" s="125">
        <v>0</v>
      </c>
      <c r="AF218" s="166">
        <f t="shared" si="318"/>
        <v>5207793.8500000015</v>
      </c>
      <c r="AG218" s="167">
        <f t="shared" si="309"/>
        <v>0.22285783653389632</v>
      </c>
      <c r="AH218" s="154" t="s">
        <v>372</v>
      </c>
      <c r="AI218" s="209">
        <v>33383190</v>
      </c>
      <c r="AJ218" s="238" t="s">
        <v>409</v>
      </c>
      <c r="AK218" s="348">
        <v>0</v>
      </c>
      <c r="AL218" s="348">
        <v>0</v>
      </c>
      <c r="AM218" s="92">
        <f t="shared" si="320"/>
        <v>0</v>
      </c>
      <c r="AN218" s="348"/>
      <c r="AO218" s="348">
        <f t="shared" si="291"/>
        <v>0</v>
      </c>
      <c r="AP218" s="301"/>
      <c r="AQ218" s="301"/>
      <c r="AR218" s="92">
        <f t="shared" si="311"/>
        <v>0</v>
      </c>
      <c r="AS218" s="301"/>
      <c r="AT218" s="301"/>
      <c r="AU218" s="382"/>
      <c r="AV218" s="256"/>
      <c r="AW218" s="289"/>
    </row>
    <row r="219" spans="1:49" s="80" customFormat="1" ht="53.25" customHeight="1">
      <c r="A219" s="381" t="s">
        <v>119</v>
      </c>
      <c r="B219" s="74" t="s">
        <v>641</v>
      </c>
      <c r="C219" s="75" t="s">
        <v>56</v>
      </c>
      <c r="D219" s="75" t="s">
        <v>687</v>
      </c>
      <c r="E219" s="106"/>
      <c r="F219" s="104">
        <f>F220+F221</f>
        <v>10542060</v>
      </c>
      <c r="G219" s="91"/>
      <c r="H219" s="91">
        <f>H220+H221</f>
        <v>10542060</v>
      </c>
      <c r="I219" s="91"/>
      <c r="J219" s="348">
        <f>J220+J221</f>
        <v>10542060</v>
      </c>
      <c r="K219" s="348">
        <f>K220+K221</f>
        <v>10542060</v>
      </c>
      <c r="L219" s="348">
        <f t="shared" ref="L219:AI219" si="321">L220+L221</f>
        <v>8636498.6500000004</v>
      </c>
      <c r="M219" s="348">
        <f t="shared" si="321"/>
        <v>1.7675628582079783</v>
      </c>
      <c r="N219" s="348">
        <f t="shared" si="321"/>
        <v>1405608</v>
      </c>
      <c r="O219" s="348">
        <f t="shared" si="321"/>
        <v>0.4</v>
      </c>
      <c r="P219" s="348">
        <f t="shared" si="321"/>
        <v>5422761.3599999994</v>
      </c>
      <c r="Q219" s="348">
        <f t="shared" si="321"/>
        <v>1.1102892385359218</v>
      </c>
      <c r="R219" s="348">
        <f t="shared" si="321"/>
        <v>5422761.3599999994</v>
      </c>
      <c r="S219" s="348">
        <f t="shared" si="321"/>
        <v>1.1102892385359218</v>
      </c>
      <c r="T219" s="348">
        <f t="shared" si="321"/>
        <v>2277502.83</v>
      </c>
      <c r="U219" s="348">
        <f t="shared" si="321"/>
        <v>0</v>
      </c>
      <c r="V219" s="348">
        <f t="shared" si="321"/>
        <v>170770.35</v>
      </c>
      <c r="W219" s="348">
        <f t="shared" si="321"/>
        <v>0</v>
      </c>
      <c r="X219" s="348">
        <f t="shared" si="321"/>
        <v>0</v>
      </c>
      <c r="Y219" s="348">
        <f t="shared" si="321"/>
        <v>2448273.1800000002</v>
      </c>
      <c r="Z219" s="348">
        <f t="shared" si="321"/>
        <v>2277502.83</v>
      </c>
      <c r="AA219" s="348">
        <f t="shared" si="321"/>
        <v>0</v>
      </c>
      <c r="AB219" s="348">
        <f t="shared" si="321"/>
        <v>0</v>
      </c>
      <c r="AC219" s="348">
        <f t="shared" si="321"/>
        <v>2448273.1800000002</v>
      </c>
      <c r="AD219" s="348">
        <f t="shared" si="321"/>
        <v>0.52642669364431627</v>
      </c>
      <c r="AE219" s="348">
        <f t="shared" si="321"/>
        <v>3.4251237694514752E-4</v>
      </c>
      <c r="AF219" s="348">
        <f t="shared" si="321"/>
        <v>5119298.6400000006</v>
      </c>
      <c r="AG219" s="348">
        <f t="shared" si="321"/>
        <v>0.88971076146407824</v>
      </c>
      <c r="AH219" s="348" t="e">
        <f t="shared" si="321"/>
        <v>#VALUE!</v>
      </c>
      <c r="AI219" s="348">
        <f t="shared" si="321"/>
        <v>11120713.6734</v>
      </c>
      <c r="AJ219" s="238" t="s">
        <v>409</v>
      </c>
      <c r="AK219" s="348">
        <f>AK220+AK221</f>
        <v>0</v>
      </c>
      <c r="AL219" s="348">
        <f>AL220+AL221</f>
        <v>0</v>
      </c>
      <c r="AM219" s="92">
        <f t="shared" si="320"/>
        <v>0</v>
      </c>
      <c r="AN219" s="348"/>
      <c r="AO219" s="348">
        <f t="shared" si="291"/>
        <v>0</v>
      </c>
      <c r="AP219" s="348">
        <f>AP220+AP221</f>
        <v>0</v>
      </c>
      <c r="AQ219" s="348">
        <f>AQ220+AQ221</f>
        <v>0</v>
      </c>
      <c r="AR219" s="92">
        <f t="shared" si="311"/>
        <v>0</v>
      </c>
      <c r="AS219" s="92"/>
      <c r="AT219" s="92"/>
      <c r="AU219" s="382"/>
      <c r="AV219" s="256"/>
      <c r="AW219" s="289"/>
    </row>
    <row r="220" spans="1:49" s="80" customFormat="1" ht="84" customHeight="1">
      <c r="A220" s="375" t="s">
        <v>120</v>
      </c>
      <c r="B220" s="69" t="s">
        <v>642</v>
      </c>
      <c r="C220" s="70" t="s">
        <v>56</v>
      </c>
      <c r="D220" s="70" t="s">
        <v>687</v>
      </c>
      <c r="E220" s="104">
        <v>10000000</v>
      </c>
      <c r="F220" s="104">
        <f>E220*$E$6</f>
        <v>7028040</v>
      </c>
      <c r="G220" s="79">
        <v>10000000</v>
      </c>
      <c r="H220" s="79">
        <f>G220*$G$6</f>
        <v>7028040</v>
      </c>
      <c r="I220" s="104">
        <v>10000000</v>
      </c>
      <c r="J220" s="348">
        <f>I220*$I$6</f>
        <v>7028040</v>
      </c>
      <c r="K220" s="348">
        <v>7028040</v>
      </c>
      <c r="L220" s="348">
        <v>4850494.83</v>
      </c>
      <c r="M220" s="125">
        <f t="shared" si="319"/>
        <v>0.69016323612273123</v>
      </c>
      <c r="N220" s="348"/>
      <c r="O220" s="127">
        <f t="shared" si="304"/>
        <v>0</v>
      </c>
      <c r="P220" s="348">
        <v>3042365.54</v>
      </c>
      <c r="Q220" s="73">
        <f t="shared" si="305"/>
        <v>0.43288961645067475</v>
      </c>
      <c r="R220" s="348">
        <v>3042365.54</v>
      </c>
      <c r="S220" s="73">
        <f t="shared" si="306"/>
        <v>0.43288961645067475</v>
      </c>
      <c r="T220" s="76">
        <v>1196798.5</v>
      </c>
      <c r="U220" s="76"/>
      <c r="V220" s="76"/>
      <c r="W220" s="76">
        <v>0</v>
      </c>
      <c r="X220" s="76">
        <v>0</v>
      </c>
      <c r="Y220" s="76">
        <f t="shared" si="282"/>
        <v>1196798.5</v>
      </c>
      <c r="Z220" s="348">
        <f t="shared" si="316"/>
        <v>1196798.5</v>
      </c>
      <c r="AA220" s="348"/>
      <c r="AB220" s="125"/>
      <c r="AC220" s="111">
        <f t="shared" si="317"/>
        <v>1196798.5</v>
      </c>
      <c r="AD220" s="73">
        <f t="shared" si="308"/>
        <v>0.17028908486576627</v>
      </c>
      <c r="AE220" s="125">
        <v>0</v>
      </c>
      <c r="AF220" s="166">
        <f t="shared" si="318"/>
        <v>3985674.46</v>
      </c>
      <c r="AG220" s="167">
        <f t="shared" si="309"/>
        <v>0.5671103835493253</v>
      </c>
      <c r="AH220" s="154" t="s">
        <v>373</v>
      </c>
      <c r="AI220" s="209">
        <v>7606693.6733999997</v>
      </c>
      <c r="AJ220" s="238" t="s">
        <v>409</v>
      </c>
      <c r="AK220" s="348">
        <v>0</v>
      </c>
      <c r="AL220" s="348">
        <v>0</v>
      </c>
      <c r="AM220" s="92">
        <f t="shared" si="320"/>
        <v>0</v>
      </c>
      <c r="AN220" s="348"/>
      <c r="AO220" s="348">
        <f t="shared" si="291"/>
        <v>0</v>
      </c>
      <c r="AP220" s="301"/>
      <c r="AQ220" s="301"/>
      <c r="AR220" s="92">
        <f t="shared" si="311"/>
        <v>0</v>
      </c>
      <c r="AS220" s="301"/>
      <c r="AT220" s="301"/>
      <c r="AU220" s="382"/>
      <c r="AV220" s="256"/>
      <c r="AW220" s="289"/>
    </row>
    <row r="221" spans="1:49" s="94" customFormat="1" ht="32.25" customHeight="1">
      <c r="A221" s="375" t="s">
        <v>121</v>
      </c>
      <c r="B221" s="69" t="s">
        <v>643</v>
      </c>
      <c r="C221" s="70" t="s">
        <v>56</v>
      </c>
      <c r="D221" s="70" t="s">
        <v>687</v>
      </c>
      <c r="E221" s="104">
        <v>5000000</v>
      </c>
      <c r="F221" s="104">
        <f>E221*$E$6</f>
        <v>3514020</v>
      </c>
      <c r="G221" s="79">
        <v>5000000</v>
      </c>
      <c r="H221" s="79">
        <f>G221*$G$6</f>
        <v>3514020</v>
      </c>
      <c r="I221" s="104">
        <v>5000000</v>
      </c>
      <c r="J221" s="348">
        <f>I221*$I$6</f>
        <v>3514020</v>
      </c>
      <c r="K221" s="348">
        <v>3514020</v>
      </c>
      <c r="L221" s="348">
        <v>3786003.82</v>
      </c>
      <c r="M221" s="125">
        <f t="shared" si="319"/>
        <v>1.0773996220852471</v>
      </c>
      <c r="N221" s="348">
        <v>1405608</v>
      </c>
      <c r="O221" s="127">
        <f t="shared" si="304"/>
        <v>0.4</v>
      </c>
      <c r="P221" s="348">
        <v>2380395.8199999998</v>
      </c>
      <c r="Q221" s="73">
        <f t="shared" si="305"/>
        <v>0.67739962208524707</v>
      </c>
      <c r="R221" s="348">
        <v>2380395.8199999998</v>
      </c>
      <c r="S221" s="73">
        <f t="shared" si="306"/>
        <v>0.67739962208524707</v>
      </c>
      <c r="T221" s="76">
        <v>1080704.33</v>
      </c>
      <c r="U221" s="76"/>
      <c r="V221" s="76">
        <v>170770.35</v>
      </c>
      <c r="W221" s="76">
        <v>0</v>
      </c>
      <c r="X221" s="76">
        <v>0</v>
      </c>
      <c r="Y221" s="76">
        <f t="shared" si="282"/>
        <v>1251474.6800000002</v>
      </c>
      <c r="Z221" s="348">
        <f t="shared" si="316"/>
        <v>1080704.33</v>
      </c>
      <c r="AA221" s="348"/>
      <c r="AB221" s="125"/>
      <c r="AC221" s="111">
        <f t="shared" si="317"/>
        <v>1251474.6800000002</v>
      </c>
      <c r="AD221" s="73">
        <f t="shared" si="308"/>
        <v>0.35613760877855</v>
      </c>
      <c r="AE221" s="125">
        <v>3.4251237694514752E-4</v>
      </c>
      <c r="AF221" s="166">
        <f t="shared" si="318"/>
        <v>1133624.1800000002</v>
      </c>
      <c r="AG221" s="167">
        <f t="shared" si="309"/>
        <v>0.32260037791475293</v>
      </c>
      <c r="AH221" s="154" t="s">
        <v>374</v>
      </c>
      <c r="AI221" s="209">
        <v>3514020</v>
      </c>
      <c r="AJ221" s="238" t="s">
        <v>409</v>
      </c>
      <c r="AK221" s="348">
        <v>0</v>
      </c>
      <c r="AL221" s="348">
        <v>0</v>
      </c>
      <c r="AM221" s="92">
        <f t="shared" si="320"/>
        <v>0</v>
      </c>
      <c r="AN221" s="348"/>
      <c r="AO221" s="348">
        <f t="shared" si="291"/>
        <v>0</v>
      </c>
      <c r="AP221" s="301"/>
      <c r="AQ221" s="301"/>
      <c r="AR221" s="92">
        <f t="shared" si="311"/>
        <v>0</v>
      </c>
      <c r="AS221" s="301"/>
      <c r="AT221" s="301"/>
      <c r="AU221" s="382"/>
      <c r="AV221" s="255"/>
      <c r="AW221" s="289"/>
    </row>
    <row r="222" spans="1:49" s="94" customFormat="1" ht="50.45" customHeight="1">
      <c r="A222" s="373" t="s">
        <v>122</v>
      </c>
      <c r="B222" s="64" t="s">
        <v>644</v>
      </c>
      <c r="C222" s="65" t="s">
        <v>56</v>
      </c>
      <c r="D222" s="65" t="s">
        <v>155</v>
      </c>
      <c r="E222" s="66"/>
      <c r="F222" s="347">
        <f>F223+F227</f>
        <v>12109723.357535999</v>
      </c>
      <c r="G222" s="347"/>
      <c r="H222" s="347">
        <f>H223+H227</f>
        <v>12109723.357535999</v>
      </c>
      <c r="I222" s="347"/>
      <c r="J222" s="347">
        <f>J223+J227</f>
        <v>12109723.357535999</v>
      </c>
      <c r="K222" s="347">
        <f t="shared" ref="K222:AI222" si="322">K223+K227</f>
        <v>12109723.357535999</v>
      </c>
      <c r="L222" s="347">
        <f t="shared" si="322"/>
        <v>20446873.420000002</v>
      </c>
      <c r="M222" s="347">
        <f t="shared" si="322"/>
        <v>3.6889891065891662</v>
      </c>
      <c r="N222" s="347">
        <f t="shared" si="322"/>
        <v>7146487.2300000004</v>
      </c>
      <c r="O222" s="347">
        <f t="shared" si="322"/>
        <v>1.4719065920684615</v>
      </c>
      <c r="P222" s="347">
        <f t="shared" si="322"/>
        <v>11917840.26</v>
      </c>
      <c r="Q222" s="347">
        <f t="shared" si="322"/>
        <v>1.9698134368934155</v>
      </c>
      <c r="R222" s="347">
        <f t="shared" si="322"/>
        <v>11917840.26</v>
      </c>
      <c r="S222" s="347">
        <f t="shared" si="322"/>
        <v>1.9698134368934155</v>
      </c>
      <c r="T222" s="347">
        <f t="shared" si="322"/>
        <v>2810850.12</v>
      </c>
      <c r="U222" s="347">
        <f t="shared" si="322"/>
        <v>0</v>
      </c>
      <c r="V222" s="347">
        <f t="shared" si="322"/>
        <v>1912448.65</v>
      </c>
      <c r="W222" s="347">
        <f t="shared" si="322"/>
        <v>1002679.8500000001</v>
      </c>
      <c r="X222" s="347">
        <f t="shared" si="322"/>
        <v>46545.009999999995</v>
      </c>
      <c r="Y222" s="347">
        <f t="shared" si="322"/>
        <v>4676753.76</v>
      </c>
      <c r="Z222" s="347">
        <f t="shared" si="322"/>
        <v>3813529.97</v>
      </c>
      <c r="AA222" s="347">
        <f t="shared" si="322"/>
        <v>1382545.9300000002</v>
      </c>
      <c r="AB222" s="347">
        <f t="shared" si="322"/>
        <v>0.24726907762728928</v>
      </c>
      <c r="AC222" s="347">
        <f t="shared" si="322"/>
        <v>4723298.7699999996</v>
      </c>
      <c r="AD222" s="347">
        <f t="shared" si="322"/>
        <v>0.74107396565773453</v>
      </c>
      <c r="AE222" s="347">
        <f t="shared" si="322"/>
        <v>7.7565347973294646E-2</v>
      </c>
      <c r="AF222" s="347">
        <f t="shared" si="322"/>
        <v>191883.09753599949</v>
      </c>
      <c r="AG222" s="347" t="e">
        <f t="shared" si="322"/>
        <v>#DIV/0!</v>
      </c>
      <c r="AH222" s="347" t="e">
        <f t="shared" si="322"/>
        <v>#VALUE!</v>
      </c>
      <c r="AI222" s="347">
        <f t="shared" si="322"/>
        <v>14246733.155099999</v>
      </c>
      <c r="AJ222" s="234" t="s">
        <v>409</v>
      </c>
      <c r="AK222" s="347">
        <f>AK223+AK227</f>
        <v>0</v>
      </c>
      <c r="AL222" s="347">
        <f t="shared" ref="AL222" si="323">AL223+AL227</f>
        <v>0</v>
      </c>
      <c r="AM222" s="306">
        <f t="shared" si="320"/>
        <v>0</v>
      </c>
      <c r="AN222" s="348"/>
      <c r="AO222" s="347">
        <f t="shared" si="291"/>
        <v>0</v>
      </c>
      <c r="AP222" s="347">
        <f t="shared" ref="AP222:AQ222" si="324">AP223+AP227</f>
        <v>0</v>
      </c>
      <c r="AQ222" s="347">
        <f t="shared" si="324"/>
        <v>0</v>
      </c>
      <c r="AR222" s="306">
        <f t="shared" si="311"/>
        <v>0</v>
      </c>
      <c r="AS222" s="92"/>
      <c r="AT222" s="92"/>
      <c r="AU222" s="380"/>
      <c r="AV222" s="256"/>
      <c r="AW222" s="289"/>
    </row>
    <row r="223" spans="1:49" s="80" customFormat="1" ht="64.5" customHeight="1">
      <c r="A223" s="381" t="s">
        <v>123</v>
      </c>
      <c r="B223" s="74" t="s">
        <v>645</v>
      </c>
      <c r="C223" s="75" t="s">
        <v>56</v>
      </c>
      <c r="D223" s="75" t="s">
        <v>155</v>
      </c>
      <c r="E223" s="78"/>
      <c r="F223" s="348">
        <f>F224+F225+F226</f>
        <v>12109723.357535999</v>
      </c>
      <c r="G223" s="348"/>
      <c r="H223" s="348">
        <f>H224+H225+H226</f>
        <v>12109723.357535999</v>
      </c>
      <c r="I223" s="348"/>
      <c r="J223" s="348">
        <f>J224+J225+J226</f>
        <v>12109723.357535999</v>
      </c>
      <c r="K223" s="348">
        <f t="shared" ref="K223:AI223" si="325">K224+K225+K226</f>
        <v>12109723.357535999</v>
      </c>
      <c r="L223" s="348">
        <f t="shared" si="325"/>
        <v>20446873.420000002</v>
      </c>
      <c r="M223" s="348">
        <f t="shared" si="325"/>
        <v>3.6889891065891662</v>
      </c>
      <c r="N223" s="348">
        <f t="shared" si="325"/>
        <v>7146487.2300000004</v>
      </c>
      <c r="O223" s="348">
        <f t="shared" si="325"/>
        <v>1.4719065920684615</v>
      </c>
      <c r="P223" s="348">
        <f t="shared" si="325"/>
        <v>11917840.26</v>
      </c>
      <c r="Q223" s="348">
        <f t="shared" si="325"/>
        <v>1.9698134368934155</v>
      </c>
      <c r="R223" s="348">
        <f t="shared" si="325"/>
        <v>11917840.26</v>
      </c>
      <c r="S223" s="348">
        <f t="shared" si="325"/>
        <v>1.9698134368934155</v>
      </c>
      <c r="T223" s="348">
        <f t="shared" si="325"/>
        <v>2810850.12</v>
      </c>
      <c r="U223" s="348">
        <f t="shared" si="325"/>
        <v>0</v>
      </c>
      <c r="V223" s="348">
        <f t="shared" si="325"/>
        <v>1912448.65</v>
      </c>
      <c r="W223" s="348">
        <f t="shared" si="325"/>
        <v>1002679.8500000001</v>
      </c>
      <c r="X223" s="348">
        <f t="shared" si="325"/>
        <v>46545.009999999995</v>
      </c>
      <c r="Y223" s="348">
        <f t="shared" si="325"/>
        <v>4676753.76</v>
      </c>
      <c r="Z223" s="348">
        <f t="shared" si="325"/>
        <v>3813529.97</v>
      </c>
      <c r="AA223" s="348">
        <f t="shared" si="325"/>
        <v>1382545.9300000002</v>
      </c>
      <c r="AB223" s="348">
        <f t="shared" si="325"/>
        <v>0.24726907762728928</v>
      </c>
      <c r="AC223" s="348">
        <f t="shared" si="325"/>
        <v>4723298.7699999996</v>
      </c>
      <c r="AD223" s="348">
        <f t="shared" si="325"/>
        <v>0.74107396565773453</v>
      </c>
      <c r="AE223" s="348">
        <f t="shared" si="325"/>
        <v>7.7565347973294646E-2</v>
      </c>
      <c r="AF223" s="348">
        <f t="shared" si="325"/>
        <v>191883.09753599949</v>
      </c>
      <c r="AG223" s="348" t="e">
        <f t="shared" si="325"/>
        <v>#DIV/0!</v>
      </c>
      <c r="AH223" s="348" t="e">
        <f t="shared" si="325"/>
        <v>#VALUE!</v>
      </c>
      <c r="AI223" s="348">
        <f t="shared" si="325"/>
        <v>14246733.155099999</v>
      </c>
      <c r="AJ223" s="238" t="s">
        <v>409</v>
      </c>
      <c r="AK223" s="348">
        <f>AK224+AK225+AK226</f>
        <v>0</v>
      </c>
      <c r="AL223" s="348">
        <f>AL224+AL225+AL226</f>
        <v>0</v>
      </c>
      <c r="AM223" s="92">
        <v>0</v>
      </c>
      <c r="AN223" s="348"/>
      <c r="AO223" s="348">
        <f t="shared" si="291"/>
        <v>0</v>
      </c>
      <c r="AP223" s="348">
        <f>AP224+AP225+AP226</f>
        <v>0</v>
      </c>
      <c r="AQ223" s="348">
        <f>AQ224+AQ225+AQ226</f>
        <v>0</v>
      </c>
      <c r="AR223" s="92">
        <f t="shared" si="311"/>
        <v>0</v>
      </c>
      <c r="AS223" s="92"/>
      <c r="AT223" s="92"/>
      <c r="AU223" s="382"/>
      <c r="AV223" s="256"/>
      <c r="AW223" s="289"/>
    </row>
    <row r="224" spans="1:49" s="80" customFormat="1" ht="124.9" customHeight="1">
      <c r="A224" s="375" t="s">
        <v>267</v>
      </c>
      <c r="B224" s="69" t="s">
        <v>646</v>
      </c>
      <c r="C224" s="70" t="s">
        <v>56</v>
      </c>
      <c r="D224" s="70" t="s">
        <v>155</v>
      </c>
      <c r="E224" s="107">
        <v>11049900</v>
      </c>
      <c r="F224" s="76">
        <f>E224*$E$6</f>
        <v>7765913.9195999997</v>
      </c>
      <c r="G224" s="76">
        <v>11049900</v>
      </c>
      <c r="H224" s="76">
        <f>G224*$G$6</f>
        <v>7765913.9195999997</v>
      </c>
      <c r="I224" s="107">
        <v>11049900</v>
      </c>
      <c r="J224" s="348">
        <f>I224*$I$6</f>
        <v>7765913.9195999997</v>
      </c>
      <c r="K224" s="348">
        <v>7765913.9195999997</v>
      </c>
      <c r="L224" s="348">
        <v>10036394.58</v>
      </c>
      <c r="M224" s="125">
        <f t="shared" si="319"/>
        <v>1.2923649017882683</v>
      </c>
      <c r="N224" s="348">
        <v>1708370.57</v>
      </c>
      <c r="O224" s="127">
        <f t="shared" si="304"/>
        <v>0.21998319678619274</v>
      </c>
      <c r="P224" s="348">
        <v>7628032.4900000002</v>
      </c>
      <c r="Q224" s="73">
        <f t="shared" si="305"/>
        <v>0.98224530544280086</v>
      </c>
      <c r="R224" s="348">
        <v>7628032.4900000002</v>
      </c>
      <c r="S224" s="73">
        <f t="shared" si="306"/>
        <v>0.98224530544280086</v>
      </c>
      <c r="T224" s="76">
        <v>2418727.6</v>
      </c>
      <c r="U224" s="76"/>
      <c r="V224" s="76">
        <v>994844.9</v>
      </c>
      <c r="W224" s="76">
        <v>738412.68</v>
      </c>
      <c r="X224" s="76">
        <v>29343.64</v>
      </c>
      <c r="Y224" s="76">
        <f t="shared" si="282"/>
        <v>3384228.86</v>
      </c>
      <c r="Z224" s="348">
        <f t="shared" si="316"/>
        <v>3157140.2800000003</v>
      </c>
      <c r="AA224" s="348">
        <v>699991.52</v>
      </c>
      <c r="AB224" s="131">
        <f>AA224/J224</f>
        <v>9.0136399559274868E-2</v>
      </c>
      <c r="AC224" s="113">
        <f t="shared" ref="AC224:AC226" si="326">SUM(T224:V224)</f>
        <v>3413572.5</v>
      </c>
      <c r="AD224" s="73">
        <f t="shared" si="308"/>
        <v>0.43955837462795666</v>
      </c>
      <c r="AE224" s="125">
        <v>5.6990339527638073E-2</v>
      </c>
      <c r="AF224" s="166">
        <f t="shared" si="318"/>
        <v>137881.42959999945</v>
      </c>
      <c r="AG224" s="167">
        <f t="shared" si="309"/>
        <v>1.7754694557199177E-2</v>
      </c>
      <c r="AH224" s="141" t="s">
        <v>427</v>
      </c>
      <c r="AI224" s="210">
        <v>9136369.0691279992</v>
      </c>
      <c r="AJ224" s="238" t="s">
        <v>409</v>
      </c>
      <c r="AK224" s="348">
        <v>0</v>
      </c>
      <c r="AL224" s="348">
        <v>0</v>
      </c>
      <c r="AM224" s="92">
        <v>0</v>
      </c>
      <c r="AN224" s="125"/>
      <c r="AO224" s="348">
        <f t="shared" ref="AO224:AO255" si="327">AL224</f>
        <v>0</v>
      </c>
      <c r="AP224" s="165"/>
      <c r="AQ224" s="165"/>
      <c r="AR224" s="92">
        <f t="shared" si="311"/>
        <v>0</v>
      </c>
      <c r="AS224" s="165"/>
      <c r="AT224" s="165"/>
      <c r="AU224" s="382"/>
      <c r="AV224" s="256"/>
      <c r="AW224" s="289"/>
    </row>
    <row r="225" spans="1:51" s="80" customFormat="1" ht="67.150000000000006" customHeight="1">
      <c r="A225" s="375" t="s">
        <v>225</v>
      </c>
      <c r="B225" s="69" t="s">
        <v>647</v>
      </c>
      <c r="C225" s="70" t="s">
        <v>56</v>
      </c>
      <c r="D225" s="70" t="s">
        <v>155</v>
      </c>
      <c r="E225" s="107">
        <v>6180684</v>
      </c>
      <c r="F225" s="76">
        <f>E225*$E$6</f>
        <v>4343809.4379359996</v>
      </c>
      <c r="G225" s="76">
        <v>6180684</v>
      </c>
      <c r="H225" s="76">
        <f>G225*$G$6</f>
        <v>4343809.4379359996</v>
      </c>
      <c r="I225" s="107">
        <v>6180684</v>
      </c>
      <c r="J225" s="348">
        <f>I225*$I$6</f>
        <v>4343809.4379359996</v>
      </c>
      <c r="K225" s="348">
        <v>4343809.4379359996</v>
      </c>
      <c r="L225" s="348">
        <v>10410478.84</v>
      </c>
      <c r="M225" s="125">
        <f t="shared" si="319"/>
        <v>2.3966242048008977</v>
      </c>
      <c r="N225" s="348">
        <v>5438116.6600000001</v>
      </c>
      <c r="O225" s="127">
        <f t="shared" si="304"/>
        <v>1.2519233952822688</v>
      </c>
      <c r="P225" s="348">
        <v>4289807.7699999996</v>
      </c>
      <c r="Q225" s="73">
        <f t="shared" si="305"/>
        <v>0.98756813145061462</v>
      </c>
      <c r="R225" s="348">
        <v>4289807.7699999996</v>
      </c>
      <c r="S225" s="73">
        <f t="shared" si="306"/>
        <v>0.98756813145061462</v>
      </c>
      <c r="T225" s="76">
        <v>392122.52</v>
      </c>
      <c r="U225" s="76"/>
      <c r="V225" s="76">
        <v>917603.75</v>
      </c>
      <c r="W225" s="76">
        <v>264267.17</v>
      </c>
      <c r="X225" s="76">
        <v>17201.37</v>
      </c>
      <c r="Y225" s="76">
        <f t="shared" si="282"/>
        <v>1292524.8999999999</v>
      </c>
      <c r="Z225" s="348">
        <f t="shared" si="316"/>
        <v>656389.68999999994</v>
      </c>
      <c r="AA225" s="348">
        <v>682554.41</v>
      </c>
      <c r="AB225" s="131">
        <f>AA225/J225</f>
        <v>0.1571326780680144</v>
      </c>
      <c r="AC225" s="113">
        <f t="shared" si="326"/>
        <v>1309726.27</v>
      </c>
      <c r="AD225" s="73">
        <f t="shared" si="308"/>
        <v>0.30151559102977782</v>
      </c>
      <c r="AE225" s="125">
        <v>2.057500844565658E-2</v>
      </c>
      <c r="AF225" s="166">
        <f t="shared" si="318"/>
        <v>54001.667936000042</v>
      </c>
      <c r="AG225" s="167">
        <f t="shared" si="309"/>
        <v>1.2431868549385404E-2</v>
      </c>
      <c r="AH225" s="142" t="s">
        <v>331</v>
      </c>
      <c r="AI225" s="211">
        <v>5110364.0859719999</v>
      </c>
      <c r="AJ225" s="238" t="s">
        <v>409</v>
      </c>
      <c r="AK225" s="348">
        <v>0</v>
      </c>
      <c r="AL225" s="348">
        <v>0</v>
      </c>
      <c r="AM225" s="92">
        <v>0</v>
      </c>
      <c r="AN225" s="125"/>
      <c r="AO225" s="348">
        <f t="shared" si="327"/>
        <v>0</v>
      </c>
      <c r="AP225" s="165"/>
      <c r="AQ225" s="165"/>
      <c r="AR225" s="92">
        <f t="shared" si="311"/>
        <v>0</v>
      </c>
      <c r="AS225" s="165"/>
      <c r="AT225" s="165"/>
      <c r="AU225" s="382"/>
      <c r="AV225" s="256"/>
      <c r="AW225" s="289"/>
    </row>
    <row r="226" spans="1:51" s="80" customFormat="1" ht="69" customHeight="1">
      <c r="A226" s="375" t="s">
        <v>124</v>
      </c>
      <c r="B226" s="69" t="s">
        <v>648</v>
      </c>
      <c r="C226" s="70" t="s">
        <v>56</v>
      </c>
      <c r="D226" s="70" t="s">
        <v>155</v>
      </c>
      <c r="E226" s="104">
        <v>0</v>
      </c>
      <c r="F226" s="79">
        <f>E226*$E$6</f>
        <v>0</v>
      </c>
      <c r="G226" s="79">
        <v>0</v>
      </c>
      <c r="H226" s="79">
        <f>G226*$G$6</f>
        <v>0</v>
      </c>
      <c r="I226" s="104">
        <v>0</v>
      </c>
      <c r="J226" s="348">
        <f>I226*$I$6</f>
        <v>0</v>
      </c>
      <c r="K226" s="348">
        <v>0</v>
      </c>
      <c r="L226" s="348"/>
      <c r="M226" s="125"/>
      <c r="N226" s="348"/>
      <c r="O226" s="127"/>
      <c r="P226" s="348">
        <v>0</v>
      </c>
      <c r="Q226" s="73"/>
      <c r="R226" s="348">
        <v>0</v>
      </c>
      <c r="S226" s="73"/>
      <c r="T226" s="76">
        <v>0</v>
      </c>
      <c r="U226" s="76">
        <v>0</v>
      </c>
      <c r="V226" s="76">
        <v>0</v>
      </c>
      <c r="W226" s="76">
        <v>0</v>
      </c>
      <c r="X226" s="76">
        <v>0</v>
      </c>
      <c r="Y226" s="76">
        <f t="shared" si="282"/>
        <v>0</v>
      </c>
      <c r="Z226" s="348">
        <f t="shared" si="316"/>
        <v>0</v>
      </c>
      <c r="AA226" s="348"/>
      <c r="AB226" s="125"/>
      <c r="AC226" s="111">
        <f t="shared" si="326"/>
        <v>0</v>
      </c>
      <c r="AD226" s="73"/>
      <c r="AE226" s="125"/>
      <c r="AF226" s="166">
        <f t="shared" si="318"/>
        <v>0</v>
      </c>
      <c r="AG226" s="167" t="e">
        <f t="shared" si="309"/>
        <v>#DIV/0!</v>
      </c>
      <c r="AH226" s="92"/>
      <c r="AI226" s="348">
        <v>0</v>
      </c>
      <c r="AJ226" s="238" t="s">
        <v>409</v>
      </c>
      <c r="AK226" s="348">
        <v>0</v>
      </c>
      <c r="AL226" s="348">
        <v>0</v>
      </c>
      <c r="AM226" s="92">
        <v>0</v>
      </c>
      <c r="AN226" s="348"/>
      <c r="AO226" s="348">
        <f t="shared" si="327"/>
        <v>0</v>
      </c>
      <c r="AP226" s="92"/>
      <c r="AQ226" s="92"/>
      <c r="AR226" s="92" t="e">
        <f t="shared" si="311"/>
        <v>#DIV/0!</v>
      </c>
      <c r="AS226" s="92"/>
      <c r="AT226" s="92"/>
      <c r="AU226" s="382"/>
      <c r="AV226" s="256"/>
      <c r="AW226" s="289"/>
    </row>
    <row r="227" spans="1:51" s="94" customFormat="1" ht="60" customHeight="1">
      <c r="A227" s="375" t="s">
        <v>125</v>
      </c>
      <c r="B227" s="69" t="s">
        <v>649</v>
      </c>
      <c r="C227" s="70" t="s">
        <v>56</v>
      </c>
      <c r="D227" s="70" t="s">
        <v>155</v>
      </c>
      <c r="E227" s="104">
        <v>0</v>
      </c>
      <c r="F227" s="79">
        <f>E227*$E$6</f>
        <v>0</v>
      </c>
      <c r="G227" s="79">
        <v>0</v>
      </c>
      <c r="H227" s="79">
        <f>G227*$G$6</f>
        <v>0</v>
      </c>
      <c r="I227" s="104">
        <v>0</v>
      </c>
      <c r="J227" s="348">
        <f>I227*$I$6</f>
        <v>0</v>
      </c>
      <c r="K227" s="348">
        <v>0</v>
      </c>
      <c r="L227" s="348"/>
      <c r="M227" s="125"/>
      <c r="N227" s="348"/>
      <c r="O227" s="127"/>
      <c r="P227" s="348">
        <v>0</v>
      </c>
      <c r="Q227" s="73"/>
      <c r="R227" s="348">
        <v>0</v>
      </c>
      <c r="S227" s="73"/>
      <c r="T227" s="76">
        <v>0</v>
      </c>
      <c r="U227" s="76">
        <v>0</v>
      </c>
      <c r="V227" s="76">
        <v>0</v>
      </c>
      <c r="W227" s="76">
        <v>0</v>
      </c>
      <c r="X227" s="76">
        <v>0</v>
      </c>
      <c r="Y227" s="76">
        <f t="shared" si="282"/>
        <v>0</v>
      </c>
      <c r="Z227" s="348">
        <f t="shared" si="316"/>
        <v>0</v>
      </c>
      <c r="AA227" s="348"/>
      <c r="AB227" s="125"/>
      <c r="AC227" s="113">
        <f t="shared" ref="AC227" si="328">SUM(T227:V227)</f>
        <v>0</v>
      </c>
      <c r="AD227" s="73"/>
      <c r="AE227" s="125"/>
      <c r="AF227" s="166">
        <f t="shared" si="318"/>
        <v>0</v>
      </c>
      <c r="AG227" s="167" t="e">
        <f t="shared" si="309"/>
        <v>#DIV/0!</v>
      </c>
      <c r="AH227" s="92"/>
      <c r="AI227" s="348">
        <v>0</v>
      </c>
      <c r="AJ227" s="238" t="s">
        <v>409</v>
      </c>
      <c r="AK227" s="348">
        <v>0</v>
      </c>
      <c r="AL227" s="348">
        <v>0</v>
      </c>
      <c r="AM227" s="92">
        <v>0</v>
      </c>
      <c r="AN227" s="348"/>
      <c r="AO227" s="348">
        <f t="shared" si="327"/>
        <v>0</v>
      </c>
      <c r="AP227" s="92"/>
      <c r="AQ227" s="92"/>
      <c r="AR227" s="92" t="e">
        <f t="shared" si="311"/>
        <v>#DIV/0!</v>
      </c>
      <c r="AS227" s="92"/>
      <c r="AT227" s="92"/>
      <c r="AU227" s="382"/>
      <c r="AV227" s="255"/>
      <c r="AW227" s="289"/>
    </row>
    <row r="228" spans="1:51" s="80" customFormat="1" ht="57.75" customHeight="1">
      <c r="A228" s="373" t="s">
        <v>126</v>
      </c>
      <c r="B228" s="64" t="s">
        <v>650</v>
      </c>
      <c r="C228" s="65" t="s">
        <v>56</v>
      </c>
      <c r="D228" s="65" t="s">
        <v>170</v>
      </c>
      <c r="E228" s="105"/>
      <c r="F228" s="90">
        <f>F229+F230+F231</f>
        <v>25335213.425843999</v>
      </c>
      <c r="G228" s="90"/>
      <c r="H228" s="90">
        <f>H229+H230+H231</f>
        <v>25335213.425843999</v>
      </c>
      <c r="I228" s="90"/>
      <c r="J228" s="347">
        <f>J229+J230+J231</f>
        <v>25335213.425843999</v>
      </c>
      <c r="K228" s="347">
        <f t="shared" ref="K228:AI228" si="329">K229+K230+K231</f>
        <v>25335213.425843999</v>
      </c>
      <c r="L228" s="347">
        <f t="shared" si="329"/>
        <v>44155939.969999999</v>
      </c>
      <c r="M228" s="347">
        <f t="shared" si="329"/>
        <v>6.5300700502234275</v>
      </c>
      <c r="N228" s="347">
        <f t="shared" si="329"/>
        <v>19893438.100000001</v>
      </c>
      <c r="O228" s="347">
        <f t="shared" si="329"/>
        <v>3.7980899998116637</v>
      </c>
      <c r="P228" s="347">
        <f t="shared" si="329"/>
        <v>24012558.949999996</v>
      </c>
      <c r="Q228" s="347">
        <f t="shared" si="329"/>
        <v>2.6694943067702508</v>
      </c>
      <c r="R228" s="347">
        <f t="shared" si="329"/>
        <v>24012558.949999996</v>
      </c>
      <c r="S228" s="347">
        <f t="shared" si="329"/>
        <v>2.6694943067702508</v>
      </c>
      <c r="T228" s="347">
        <f t="shared" si="329"/>
        <v>3628929.7199999997</v>
      </c>
      <c r="U228" s="347">
        <f t="shared" si="329"/>
        <v>0</v>
      </c>
      <c r="V228" s="347">
        <f t="shared" si="329"/>
        <v>2777828.55</v>
      </c>
      <c r="W228" s="347">
        <f t="shared" si="329"/>
        <v>0</v>
      </c>
      <c r="X228" s="347">
        <f t="shared" si="329"/>
        <v>0</v>
      </c>
      <c r="Y228" s="347">
        <f t="shared" si="329"/>
        <v>6406758.2699999996</v>
      </c>
      <c r="Z228" s="347">
        <f t="shared" si="329"/>
        <v>3628929.7199999997</v>
      </c>
      <c r="AA228" s="347">
        <f t="shared" si="329"/>
        <v>0</v>
      </c>
      <c r="AB228" s="347">
        <f t="shared" si="329"/>
        <v>0</v>
      </c>
      <c r="AC228" s="347">
        <f t="shared" si="329"/>
        <v>6406758.2699999996</v>
      </c>
      <c r="AD228" s="347">
        <f t="shared" si="329"/>
        <v>0.74007251798222617</v>
      </c>
      <c r="AE228" s="347">
        <f t="shared" si="329"/>
        <v>5.9997585834845382E-4</v>
      </c>
      <c r="AF228" s="347">
        <f t="shared" si="329"/>
        <v>1322654.475844</v>
      </c>
      <c r="AG228" s="347">
        <f t="shared" si="329"/>
        <v>0.33050569322974899</v>
      </c>
      <c r="AH228" s="347" t="e">
        <f t="shared" si="329"/>
        <v>#VALUE!</v>
      </c>
      <c r="AI228" s="347">
        <f t="shared" si="329"/>
        <v>31100252.088287998</v>
      </c>
      <c r="AJ228" s="237" t="s">
        <v>409</v>
      </c>
      <c r="AK228" s="347">
        <f>AK229+AK230+AK231</f>
        <v>0</v>
      </c>
      <c r="AL228" s="347">
        <f t="shared" ref="AL228" si="330">AL229+AL230+AL231</f>
        <v>0</v>
      </c>
      <c r="AM228" s="306">
        <f t="shared" si="320"/>
        <v>0</v>
      </c>
      <c r="AN228" s="348"/>
      <c r="AO228" s="347">
        <f t="shared" si="327"/>
        <v>0</v>
      </c>
      <c r="AP228" s="347">
        <f>AP229+AP230+AP231</f>
        <v>0</v>
      </c>
      <c r="AQ228" s="347">
        <f>AQ229+AQ230+AQ231</f>
        <v>0</v>
      </c>
      <c r="AR228" s="306">
        <f t="shared" si="311"/>
        <v>0</v>
      </c>
      <c r="AS228" s="92"/>
      <c r="AT228" s="92"/>
      <c r="AU228" s="380"/>
      <c r="AV228" s="256"/>
      <c r="AW228" s="289"/>
    </row>
    <row r="229" spans="1:51" s="80" customFormat="1" ht="69.75" customHeight="1">
      <c r="A229" s="375" t="s">
        <v>127</v>
      </c>
      <c r="B229" s="69" t="s">
        <v>651</v>
      </c>
      <c r="C229" s="70" t="s">
        <v>56</v>
      </c>
      <c r="D229" s="70" t="s">
        <v>170</v>
      </c>
      <c r="E229" s="104">
        <v>21186764</v>
      </c>
      <c r="F229" s="79">
        <f>E229*$E$6</f>
        <v>14890142.486256</v>
      </c>
      <c r="G229" s="79">
        <v>21186764</v>
      </c>
      <c r="H229" s="79">
        <f>G229*$G$6</f>
        <v>14890142.486256</v>
      </c>
      <c r="I229" s="104">
        <v>21186764</v>
      </c>
      <c r="J229" s="348">
        <f>I229*$I$6</f>
        <v>14890142.486256</v>
      </c>
      <c r="K229" s="348">
        <v>14890142.486256</v>
      </c>
      <c r="L229" s="348">
        <v>14889924.199999999</v>
      </c>
      <c r="M229" s="125">
        <f t="shared" si="319"/>
        <v>0.99998534021711327</v>
      </c>
      <c r="N229" s="348"/>
      <c r="O229" s="127">
        <f t="shared" si="304"/>
        <v>0</v>
      </c>
      <c r="P229" s="348">
        <v>14889924.199999999</v>
      </c>
      <c r="Q229" s="73">
        <f t="shared" ref="Q229:Q248" si="331">P229/J229</f>
        <v>0.99998534021711327</v>
      </c>
      <c r="R229" s="348">
        <v>14889924.199999999</v>
      </c>
      <c r="S229" s="73">
        <f t="shared" ref="S229:S246" si="332">R229/J229</f>
        <v>0.99998534021711327</v>
      </c>
      <c r="T229" s="76">
        <v>1756855.45</v>
      </c>
      <c r="U229" s="76"/>
      <c r="V229" s="76">
        <v>1728628.7</v>
      </c>
      <c r="W229" s="76">
        <v>0</v>
      </c>
      <c r="X229" s="76">
        <v>0</v>
      </c>
      <c r="Y229" s="76">
        <f t="shared" si="282"/>
        <v>3485484.15</v>
      </c>
      <c r="Z229" s="348">
        <f t="shared" si="316"/>
        <v>1756855.45</v>
      </c>
      <c r="AA229" s="348"/>
      <c r="AB229" s="125"/>
      <c r="AC229" s="111">
        <f t="shared" ref="AC229:AC231" si="333">SUM(T229:V229)</f>
        <v>3485484.15</v>
      </c>
      <c r="AD229" s="73">
        <f t="shared" ref="AD229:AD246" si="334">AC229/J229</f>
        <v>0.23407997292283772</v>
      </c>
      <c r="AE229" s="125">
        <v>0</v>
      </c>
      <c r="AF229" s="166">
        <f t="shared" si="318"/>
        <v>218.28625600039959</v>
      </c>
      <c r="AG229" s="167">
        <f t="shared" si="309"/>
        <v>1.4659782886690551E-5</v>
      </c>
      <c r="AH229" s="163" t="s">
        <v>405</v>
      </c>
      <c r="AI229" s="212">
        <v>17517814.896419998</v>
      </c>
      <c r="AJ229" s="238" t="s">
        <v>409</v>
      </c>
      <c r="AK229" s="348">
        <v>0</v>
      </c>
      <c r="AL229" s="348">
        <v>0</v>
      </c>
      <c r="AM229" s="92">
        <f t="shared" si="320"/>
        <v>0</v>
      </c>
      <c r="AN229" s="348"/>
      <c r="AO229" s="348">
        <f t="shared" si="327"/>
        <v>0</v>
      </c>
      <c r="AP229" s="92"/>
      <c r="AQ229" s="92"/>
      <c r="AR229" s="92">
        <f t="shared" si="311"/>
        <v>0</v>
      </c>
      <c r="AS229" s="92"/>
      <c r="AT229" s="92"/>
      <c r="AU229" s="382"/>
      <c r="AV229" s="256"/>
      <c r="AW229" s="289"/>
    </row>
    <row r="230" spans="1:51" s="80" customFormat="1" ht="81" customHeight="1">
      <c r="A230" s="375" t="s">
        <v>240</v>
      </c>
      <c r="B230" s="69" t="s">
        <v>652</v>
      </c>
      <c r="C230" s="70" t="s">
        <v>56</v>
      </c>
      <c r="D230" s="70" t="s">
        <v>170</v>
      </c>
      <c r="E230" s="104">
        <v>9170511</v>
      </c>
      <c r="F230" s="79">
        <f>E230*$E$6</f>
        <v>6445071.8128439998</v>
      </c>
      <c r="G230" s="79">
        <v>9170511</v>
      </c>
      <c r="H230" s="79">
        <f>G230*$G$6</f>
        <v>6445071.8128439998</v>
      </c>
      <c r="I230" s="104">
        <v>9170511</v>
      </c>
      <c r="J230" s="348">
        <f>I230*$I$6</f>
        <v>6445071.8128439998</v>
      </c>
      <c r="K230" s="348">
        <v>6445071.8128439998</v>
      </c>
      <c r="L230" s="348">
        <v>18835608.59</v>
      </c>
      <c r="M230" s="125">
        <f t="shared" si="319"/>
        <v>2.9224823457302116</v>
      </c>
      <c r="N230" s="348">
        <v>12391781.85</v>
      </c>
      <c r="O230" s="127">
        <f t="shared" si="304"/>
        <v>1.9226755278824288</v>
      </c>
      <c r="P230" s="348">
        <v>6443826.7400000002</v>
      </c>
      <c r="Q230" s="73">
        <f t="shared" si="331"/>
        <v>0.9998068178477828</v>
      </c>
      <c r="R230" s="348">
        <v>6443826.7400000002</v>
      </c>
      <c r="S230" s="73">
        <f t="shared" si="332"/>
        <v>0.9998068178477828</v>
      </c>
      <c r="T230" s="76">
        <v>1316043.2</v>
      </c>
      <c r="U230" s="76"/>
      <c r="V230" s="76">
        <v>1049199.8500000001</v>
      </c>
      <c r="W230" s="76">
        <v>0</v>
      </c>
      <c r="X230" s="76">
        <v>0</v>
      </c>
      <c r="Y230" s="76">
        <f t="shared" si="282"/>
        <v>2365243.0499999998</v>
      </c>
      <c r="Z230" s="348">
        <f t="shared" si="316"/>
        <v>1316043.2</v>
      </c>
      <c r="AA230" s="348"/>
      <c r="AB230" s="125"/>
      <c r="AC230" s="111">
        <f t="shared" si="333"/>
        <v>2365243.0499999998</v>
      </c>
      <c r="AD230" s="73">
        <f t="shared" si="334"/>
        <v>0.36698474721204005</v>
      </c>
      <c r="AE230" s="125">
        <v>5.9997585834845382E-4</v>
      </c>
      <c r="AF230" s="166">
        <f t="shared" si="318"/>
        <v>1245.0728439996019</v>
      </c>
      <c r="AG230" s="167">
        <f t="shared" si="309"/>
        <v>1.9318215221719801E-4</v>
      </c>
      <c r="AH230" s="164" t="s">
        <v>406</v>
      </c>
      <c r="AI230" s="211">
        <v>7582438.5017520003</v>
      </c>
      <c r="AJ230" s="238" t="s">
        <v>409</v>
      </c>
      <c r="AK230" s="348">
        <v>0</v>
      </c>
      <c r="AL230" s="348">
        <v>0</v>
      </c>
      <c r="AM230" s="92">
        <f t="shared" si="320"/>
        <v>0</v>
      </c>
      <c r="AN230" s="348"/>
      <c r="AO230" s="348">
        <f t="shared" si="327"/>
        <v>0</v>
      </c>
      <c r="AP230" s="92"/>
      <c r="AQ230" s="92"/>
      <c r="AR230" s="92">
        <f t="shared" si="311"/>
        <v>0</v>
      </c>
      <c r="AS230" s="92"/>
      <c r="AT230" s="92"/>
      <c r="AU230" s="382"/>
      <c r="AV230" s="256"/>
      <c r="AW230" s="289"/>
    </row>
    <row r="231" spans="1:51" s="94" customFormat="1" ht="98.25" customHeight="1">
      <c r="A231" s="375" t="s">
        <v>213</v>
      </c>
      <c r="B231" s="69" t="s">
        <v>653</v>
      </c>
      <c r="C231" s="70" t="s">
        <v>56</v>
      </c>
      <c r="D231" s="70" t="s">
        <v>170</v>
      </c>
      <c r="E231" s="104">
        <v>5691486</v>
      </c>
      <c r="F231" s="79">
        <f>E231*$E$6</f>
        <v>3999999.1267439998</v>
      </c>
      <c r="G231" s="79">
        <v>5691486</v>
      </c>
      <c r="H231" s="79">
        <f>G231*$G$6</f>
        <v>3999999.1267439998</v>
      </c>
      <c r="I231" s="104">
        <v>5691486</v>
      </c>
      <c r="J231" s="348">
        <f>I231*$I$6</f>
        <v>3999999.1267439998</v>
      </c>
      <c r="K231" s="348">
        <v>3999999.1267439998</v>
      </c>
      <c r="L231" s="348">
        <v>10430407.18</v>
      </c>
      <c r="M231" s="125">
        <f t="shared" si="319"/>
        <v>2.6076023642761026</v>
      </c>
      <c r="N231" s="348">
        <v>7501656.25</v>
      </c>
      <c r="O231" s="127">
        <f t="shared" si="304"/>
        <v>1.8754144719292352</v>
      </c>
      <c r="P231" s="348">
        <v>2678808.0099999998</v>
      </c>
      <c r="Q231" s="73">
        <f t="shared" si="331"/>
        <v>0.66970214870535483</v>
      </c>
      <c r="R231" s="348">
        <v>2678808.0099999998</v>
      </c>
      <c r="S231" s="73">
        <f t="shared" si="332"/>
        <v>0.66970214870535483</v>
      </c>
      <c r="T231" s="76">
        <v>556031.06999999995</v>
      </c>
      <c r="U231" s="76"/>
      <c r="V231" s="76"/>
      <c r="W231" s="76">
        <v>0</v>
      </c>
      <c r="X231" s="76">
        <v>0</v>
      </c>
      <c r="Y231" s="76">
        <f t="shared" si="282"/>
        <v>556031.06999999995</v>
      </c>
      <c r="Z231" s="348">
        <f t="shared" si="316"/>
        <v>556031.06999999995</v>
      </c>
      <c r="AA231" s="348"/>
      <c r="AB231" s="125"/>
      <c r="AC231" s="111">
        <f t="shared" si="333"/>
        <v>556031.06999999995</v>
      </c>
      <c r="AD231" s="73">
        <f t="shared" si="334"/>
        <v>0.13900779784734837</v>
      </c>
      <c r="AE231" s="125">
        <v>0</v>
      </c>
      <c r="AF231" s="166">
        <f t="shared" si="318"/>
        <v>1321191.116744</v>
      </c>
      <c r="AG231" s="167">
        <f t="shared" si="309"/>
        <v>0.33029785129464512</v>
      </c>
      <c r="AH231" s="164" t="s">
        <v>407</v>
      </c>
      <c r="AI231" s="211">
        <v>5999998.6901159994</v>
      </c>
      <c r="AJ231" s="238" t="s">
        <v>409</v>
      </c>
      <c r="AK231" s="348">
        <v>0</v>
      </c>
      <c r="AL231" s="348">
        <v>0</v>
      </c>
      <c r="AM231" s="92">
        <f t="shared" si="320"/>
        <v>0</v>
      </c>
      <c r="AN231" s="348"/>
      <c r="AO231" s="348">
        <f t="shared" si="327"/>
        <v>0</v>
      </c>
      <c r="AP231" s="92"/>
      <c r="AQ231" s="92"/>
      <c r="AR231" s="92">
        <f t="shared" si="311"/>
        <v>0</v>
      </c>
      <c r="AS231" s="92"/>
      <c r="AT231" s="92"/>
      <c r="AU231" s="382"/>
      <c r="AV231" s="255"/>
      <c r="AW231" s="289"/>
      <c r="AX231" s="245"/>
      <c r="AY231" s="245"/>
    </row>
    <row r="232" spans="1:51" s="80" customFormat="1" ht="51.75" customHeight="1">
      <c r="A232" s="373" t="s">
        <v>128</v>
      </c>
      <c r="B232" s="64" t="s">
        <v>654</v>
      </c>
      <c r="C232" s="65" t="s">
        <v>56</v>
      </c>
      <c r="D232" s="65" t="s">
        <v>155</v>
      </c>
      <c r="E232" s="66"/>
      <c r="F232" s="347">
        <f>F233+F234</f>
        <v>52611651.619343996</v>
      </c>
      <c r="G232" s="347"/>
      <c r="H232" s="347">
        <f>H233+H234</f>
        <v>52611651.619343996</v>
      </c>
      <c r="I232" s="347"/>
      <c r="J232" s="347">
        <f>J233+J234</f>
        <v>52611651.619343996</v>
      </c>
      <c r="K232" s="347">
        <f t="shared" ref="K232:AI232" si="335">K233+K234</f>
        <v>52611651.619343996</v>
      </c>
      <c r="L232" s="347">
        <f t="shared" si="335"/>
        <v>49271376.810000002</v>
      </c>
      <c r="M232" s="347">
        <f t="shared" si="335"/>
        <v>2.1698111965906897</v>
      </c>
      <c r="N232" s="347">
        <f t="shared" si="335"/>
        <v>13926735.51</v>
      </c>
      <c r="O232" s="347">
        <f t="shared" si="335"/>
        <v>0.5313720852897299</v>
      </c>
      <c r="P232" s="347">
        <f t="shared" si="335"/>
        <v>32564474.510000002</v>
      </c>
      <c r="Q232" s="347">
        <f t="shared" si="335"/>
        <v>1.5391284728145371</v>
      </c>
      <c r="R232" s="347">
        <f t="shared" si="335"/>
        <v>29875101.490000002</v>
      </c>
      <c r="S232" s="347">
        <f t="shared" si="335"/>
        <v>1.4828182572335278</v>
      </c>
      <c r="T232" s="347">
        <f t="shared" si="335"/>
        <v>4071876.58</v>
      </c>
      <c r="U232" s="347">
        <f t="shared" si="335"/>
        <v>0</v>
      </c>
      <c r="V232" s="347">
        <f t="shared" si="335"/>
        <v>671062.80999999994</v>
      </c>
      <c r="W232" s="347">
        <f t="shared" si="335"/>
        <v>445475.44</v>
      </c>
      <c r="X232" s="347">
        <f t="shared" si="335"/>
        <v>24220.59</v>
      </c>
      <c r="Y232" s="347">
        <f t="shared" si="335"/>
        <v>4718718.8</v>
      </c>
      <c r="Z232" s="347">
        <f t="shared" si="335"/>
        <v>4517352.0199999996</v>
      </c>
      <c r="AA232" s="347">
        <f t="shared" si="335"/>
        <v>1511293.1</v>
      </c>
      <c r="AB232" s="347">
        <f t="shared" si="335"/>
        <v>7.3583824139907605E-2</v>
      </c>
      <c r="AC232" s="347">
        <f t="shared" si="335"/>
        <v>4742939.3899999997</v>
      </c>
      <c r="AD232" s="347">
        <f t="shared" si="335"/>
        <v>0.34483172426590508</v>
      </c>
      <c r="AE232" s="347">
        <f t="shared" si="335"/>
        <v>2.4453969669582069E-2</v>
      </c>
      <c r="AF232" s="347">
        <f t="shared" si="335"/>
        <v>22736550.129343994</v>
      </c>
      <c r="AG232" s="347">
        <f t="shared" si="335"/>
        <v>0.517181742766472</v>
      </c>
      <c r="AH232" s="347" t="e">
        <f t="shared" si="335"/>
        <v>#VALUE!</v>
      </c>
      <c r="AI232" s="347">
        <f t="shared" si="335"/>
        <v>87616913.954147995</v>
      </c>
      <c r="AJ232" s="237" t="s">
        <v>408</v>
      </c>
      <c r="AK232" s="347">
        <f>AK233+AK234</f>
        <v>15000000</v>
      </c>
      <c r="AL232" s="347">
        <f t="shared" ref="AL232" si="336">AL233+AL234</f>
        <v>15000000</v>
      </c>
      <c r="AM232" s="306">
        <f t="shared" si="320"/>
        <v>0.28510794735219591</v>
      </c>
      <c r="AN232" s="348"/>
      <c r="AO232" s="347">
        <f t="shared" si="327"/>
        <v>15000000</v>
      </c>
      <c r="AP232" s="347">
        <f t="shared" ref="AP232:AQ232" si="337">AP233+AP234</f>
        <v>15000000</v>
      </c>
      <c r="AQ232" s="347">
        <f t="shared" si="337"/>
        <v>15000000</v>
      </c>
      <c r="AR232" s="306">
        <f t="shared" si="311"/>
        <v>0.28510794735219591</v>
      </c>
      <c r="AS232" s="92"/>
      <c r="AT232" s="92"/>
      <c r="AU232" s="380"/>
      <c r="AV232" s="253"/>
      <c r="AW232" s="289"/>
      <c r="AX232" s="245"/>
      <c r="AY232" s="245"/>
    </row>
    <row r="233" spans="1:51" s="80" customFormat="1" ht="112.5" customHeight="1">
      <c r="A233" s="377" t="s">
        <v>216</v>
      </c>
      <c r="B233" s="345" t="s">
        <v>655</v>
      </c>
      <c r="C233" s="178" t="s">
        <v>56</v>
      </c>
      <c r="D233" s="178" t="s">
        <v>155</v>
      </c>
      <c r="E233" s="202">
        <v>67956285</v>
      </c>
      <c r="F233" s="182">
        <f>E233*$E$6</f>
        <v>47759948.923139997</v>
      </c>
      <c r="G233" s="182">
        <v>67956285</v>
      </c>
      <c r="H233" s="182">
        <f>G233*$G$6</f>
        <v>47759948.923139997</v>
      </c>
      <c r="I233" s="202">
        <v>67956285</v>
      </c>
      <c r="J233" s="349">
        <f>I233*$I$6</f>
        <v>47759948.923139997</v>
      </c>
      <c r="K233" s="349">
        <v>47759948.923139997</v>
      </c>
      <c r="L233" s="349">
        <v>43124953.899999999</v>
      </c>
      <c r="M233" s="179">
        <f t="shared" si="319"/>
        <v>0.90295226172458665</v>
      </c>
      <c r="N233" s="349">
        <v>12631888.74</v>
      </c>
      <c r="O233" s="180">
        <f t="shared" si="304"/>
        <v>0.26448706551861012</v>
      </c>
      <c r="P233" s="349">
        <v>27934847.030000001</v>
      </c>
      <c r="Q233" s="181">
        <f t="shared" si="331"/>
        <v>0.58490110772428805</v>
      </c>
      <c r="R233" s="349">
        <v>25245474.010000002</v>
      </c>
      <c r="S233" s="181">
        <f t="shared" si="332"/>
        <v>0.52859089214327881</v>
      </c>
      <c r="T233" s="182">
        <v>3259689.2199999997</v>
      </c>
      <c r="U233" s="182"/>
      <c r="V233" s="182">
        <v>157349.65</v>
      </c>
      <c r="W233" s="182">
        <v>0</v>
      </c>
      <c r="X233" s="182">
        <v>0</v>
      </c>
      <c r="Y233" s="182">
        <f t="shared" si="282"/>
        <v>3417038.8699999996</v>
      </c>
      <c r="Z233" s="349">
        <f t="shared" si="316"/>
        <v>3259689.2199999997</v>
      </c>
      <c r="AA233" s="349">
        <v>1284803.22</v>
      </c>
      <c r="AB233" s="196">
        <f>AA233/J233</f>
        <v>2.6901268719270021E-2</v>
      </c>
      <c r="AC233" s="199">
        <f>SUM(T233:V233)</f>
        <v>3417038.8699999996</v>
      </c>
      <c r="AD233" s="181">
        <f t="shared" si="334"/>
        <v>7.1546116506511229E-2</v>
      </c>
      <c r="AE233" s="179">
        <v>4.31617013035501E-3</v>
      </c>
      <c r="AF233" s="185">
        <f t="shared" si="318"/>
        <v>22514474.913139995</v>
      </c>
      <c r="AG233" s="186">
        <f t="shared" si="309"/>
        <v>0.47140910785672113</v>
      </c>
      <c r="AH233" s="200" t="s">
        <v>332</v>
      </c>
      <c r="AI233" s="213">
        <v>81147977.025876001</v>
      </c>
      <c r="AJ233" s="239" t="s">
        <v>408</v>
      </c>
      <c r="AK233" s="349">
        <v>15000000</v>
      </c>
      <c r="AL233" s="349">
        <v>15000000</v>
      </c>
      <c r="AM233" s="207">
        <f t="shared" si="320"/>
        <v>0.31407068764121743</v>
      </c>
      <c r="AN233" s="186" t="s">
        <v>408</v>
      </c>
      <c r="AO233" s="349">
        <f t="shared" si="327"/>
        <v>15000000</v>
      </c>
      <c r="AP233" s="349">
        <v>15000000</v>
      </c>
      <c r="AQ233" s="349">
        <v>15000000</v>
      </c>
      <c r="AR233" s="207">
        <f t="shared" si="311"/>
        <v>0.31407068764121743</v>
      </c>
      <c r="AS233" s="319" t="s">
        <v>433</v>
      </c>
      <c r="AT233" s="269" t="s">
        <v>692</v>
      </c>
      <c r="AU233" s="378"/>
      <c r="AV233" s="256"/>
      <c r="AW233" s="289"/>
    </row>
    <row r="234" spans="1:51" s="94" customFormat="1" ht="80.25" customHeight="1">
      <c r="A234" s="375" t="s">
        <v>245</v>
      </c>
      <c r="B234" s="69" t="s">
        <v>656</v>
      </c>
      <c r="C234" s="70" t="s">
        <v>56</v>
      </c>
      <c r="D234" s="70" t="s">
        <v>155</v>
      </c>
      <c r="E234" s="107">
        <v>6903351</v>
      </c>
      <c r="F234" s="76">
        <f>E234*$E$6</f>
        <v>4851702.6962040002</v>
      </c>
      <c r="G234" s="76">
        <v>6903351</v>
      </c>
      <c r="H234" s="76">
        <f>G234*$G$6</f>
        <v>4851702.6962040002</v>
      </c>
      <c r="I234" s="107">
        <v>6903351</v>
      </c>
      <c r="J234" s="348">
        <f>I234*$I$6</f>
        <v>4851702.6962040002</v>
      </c>
      <c r="K234" s="348">
        <v>4851702.6962040002</v>
      </c>
      <c r="L234" s="348">
        <v>6146422.9100000001</v>
      </c>
      <c r="M234" s="125">
        <f t="shared" si="319"/>
        <v>1.266858934866103</v>
      </c>
      <c r="N234" s="348">
        <v>1294846.77</v>
      </c>
      <c r="O234" s="127">
        <f t="shared" si="304"/>
        <v>0.26688501977111984</v>
      </c>
      <c r="P234" s="348">
        <v>4629627.4800000004</v>
      </c>
      <c r="Q234" s="73">
        <f t="shared" si="331"/>
        <v>0.95422736509024908</v>
      </c>
      <c r="R234" s="348">
        <v>4629627.4800000004</v>
      </c>
      <c r="S234" s="73">
        <f t="shared" si="332"/>
        <v>0.95422736509024908</v>
      </c>
      <c r="T234" s="76">
        <v>812187.3600000001</v>
      </c>
      <c r="U234" s="76"/>
      <c r="V234" s="76">
        <v>513713.16</v>
      </c>
      <c r="W234" s="76">
        <v>445475.44</v>
      </c>
      <c r="X234" s="76">
        <v>24220.59</v>
      </c>
      <c r="Y234" s="76">
        <f t="shared" si="282"/>
        <v>1301679.93</v>
      </c>
      <c r="Z234" s="348">
        <f t="shared" si="316"/>
        <v>1257662.8</v>
      </c>
      <c r="AA234" s="348">
        <v>226489.88</v>
      </c>
      <c r="AB234" s="131">
        <f>AA234/J234</f>
        <v>4.6682555420637581E-2</v>
      </c>
      <c r="AC234" s="113">
        <f t="shared" ref="AC234" si="338">SUM(T234:V234)</f>
        <v>1325900.52</v>
      </c>
      <c r="AD234" s="73">
        <f t="shared" si="334"/>
        <v>0.27328560775939387</v>
      </c>
      <c r="AE234" s="125">
        <v>2.013779953922706E-2</v>
      </c>
      <c r="AF234" s="166">
        <f t="shared" si="318"/>
        <v>222075.21620399971</v>
      </c>
      <c r="AG234" s="167">
        <f t="shared" si="309"/>
        <v>4.5772634909750885E-2</v>
      </c>
      <c r="AH234" s="142" t="s">
        <v>333</v>
      </c>
      <c r="AI234" s="211">
        <v>6468936.9282719996</v>
      </c>
      <c r="AJ234" s="238" t="s">
        <v>409</v>
      </c>
      <c r="AK234" s="348">
        <v>0</v>
      </c>
      <c r="AL234" s="348">
        <v>0</v>
      </c>
      <c r="AM234" s="92">
        <f t="shared" si="320"/>
        <v>0</v>
      </c>
      <c r="AN234" s="348"/>
      <c r="AO234" s="348">
        <f t="shared" si="327"/>
        <v>0</v>
      </c>
      <c r="AP234" s="92"/>
      <c r="AQ234" s="92"/>
      <c r="AR234" s="92">
        <f t="shared" si="311"/>
        <v>0</v>
      </c>
      <c r="AS234" s="92"/>
      <c r="AT234" s="92"/>
      <c r="AU234" s="382"/>
      <c r="AV234" s="255"/>
      <c r="AW234" s="289"/>
      <c r="AX234" s="245"/>
      <c r="AY234" s="245"/>
    </row>
    <row r="235" spans="1:51" s="94" customFormat="1" ht="71.25" customHeight="1">
      <c r="A235" s="373" t="s">
        <v>129</v>
      </c>
      <c r="B235" s="64" t="s">
        <v>657</v>
      </c>
      <c r="C235" s="65" t="s">
        <v>171</v>
      </c>
      <c r="D235" s="65" t="s">
        <v>138</v>
      </c>
      <c r="E235" s="66"/>
      <c r="F235" s="347">
        <f>F236+F244</f>
        <v>471307462.12600803</v>
      </c>
      <c r="G235" s="347"/>
      <c r="H235" s="347">
        <f>H236+H244</f>
        <v>471307462.12600803</v>
      </c>
      <c r="I235" s="347"/>
      <c r="J235" s="347">
        <f>J236+J244</f>
        <v>471307462.12600803</v>
      </c>
      <c r="K235" s="347">
        <f t="shared" ref="K235:AI235" si="339">K236+K244</f>
        <v>485857473.480012</v>
      </c>
      <c r="L235" s="347">
        <f t="shared" si="339"/>
        <v>489971131.74000001</v>
      </c>
      <c r="M235" s="347">
        <f t="shared" si="339"/>
        <v>9.9603400282292576</v>
      </c>
      <c r="N235" s="347">
        <f t="shared" si="339"/>
        <v>89520305.730000004</v>
      </c>
      <c r="O235" s="347">
        <f t="shared" si="339"/>
        <v>3.8171440077539822</v>
      </c>
      <c r="P235" s="347">
        <f t="shared" si="339"/>
        <v>371496528.88000005</v>
      </c>
      <c r="Q235" s="347">
        <f t="shared" si="339"/>
        <v>5.6326919406110401</v>
      </c>
      <c r="R235" s="347">
        <f t="shared" si="339"/>
        <v>368211118.12</v>
      </c>
      <c r="S235" s="347">
        <f t="shared" si="339"/>
        <v>5.1743862193606667</v>
      </c>
      <c r="T235" s="347">
        <f t="shared" si="339"/>
        <v>110833245.48</v>
      </c>
      <c r="U235" s="347">
        <f t="shared" si="339"/>
        <v>9695423.129999999</v>
      </c>
      <c r="V235" s="347">
        <f t="shared" si="339"/>
        <v>124794763.42</v>
      </c>
      <c r="W235" s="347">
        <f t="shared" si="339"/>
        <v>36417596.810000002</v>
      </c>
      <c r="X235" s="347">
        <f t="shared" ca="1" si="339"/>
        <v>3057697.6</v>
      </c>
      <c r="Y235" s="347">
        <f t="shared" ca="1" si="339"/>
        <v>242265734.43000004</v>
      </c>
      <c r="Z235" s="347">
        <f t="shared" si="339"/>
        <v>156946265.42000002</v>
      </c>
      <c r="AA235" s="347">
        <f t="shared" si="339"/>
        <v>2588250</v>
      </c>
      <c r="AB235" s="347">
        <f t="shared" si="339"/>
        <v>0.36105372194808227</v>
      </c>
      <c r="AC235" s="347">
        <f t="shared" si="339"/>
        <v>245323432.03000003</v>
      </c>
      <c r="AD235" s="347">
        <f t="shared" si="339"/>
        <v>2.4610757946543527</v>
      </c>
      <c r="AE235" s="347">
        <f t="shared" si="339"/>
        <v>1.1109431370256388E-2</v>
      </c>
      <c r="AF235" s="347">
        <f t="shared" si="339"/>
        <v>103096343.32413599</v>
      </c>
      <c r="AG235" s="347" t="e">
        <f t="shared" si="339"/>
        <v>#DIV/0!</v>
      </c>
      <c r="AH235" s="347" t="e">
        <f t="shared" si="339"/>
        <v>#VALUE!</v>
      </c>
      <c r="AI235" s="347">
        <f t="shared" si="339"/>
        <v>633170942.92514396</v>
      </c>
      <c r="AJ235" s="237" t="s">
        <v>408</v>
      </c>
      <c r="AK235" s="347">
        <f>AK236+AK244</f>
        <v>9116965.4504700266</v>
      </c>
      <c r="AL235" s="347">
        <f t="shared" ref="AL235" si="340">AL236+AL244</f>
        <v>9130000</v>
      </c>
      <c r="AM235" s="306">
        <f t="shared" si="320"/>
        <v>1.87915191148657E-2</v>
      </c>
      <c r="AN235" s="172"/>
      <c r="AO235" s="347">
        <f t="shared" si="327"/>
        <v>9130000</v>
      </c>
      <c r="AP235" s="347">
        <f t="shared" ref="AP235:AQ235" si="341">AP236+AP244</f>
        <v>11912839</v>
      </c>
      <c r="AQ235" s="347">
        <f t="shared" si="341"/>
        <v>11912839</v>
      </c>
      <c r="AR235" s="306">
        <f t="shared" si="311"/>
        <v>2.4519205014328322E-2</v>
      </c>
      <c r="AS235" s="92"/>
      <c r="AT235" s="92"/>
      <c r="AU235" s="380">
        <f t="shared" ref="AU235" si="342">AU236+AU244</f>
        <v>368394.82352941157</v>
      </c>
      <c r="AV235" s="255"/>
      <c r="AW235" s="289"/>
      <c r="AX235" s="245"/>
      <c r="AY235" s="245"/>
    </row>
    <row r="236" spans="1:51" s="80" customFormat="1" ht="61.5" customHeight="1">
      <c r="A236" s="373" t="s">
        <v>130</v>
      </c>
      <c r="B236" s="64" t="s">
        <v>658</v>
      </c>
      <c r="C236" s="65" t="s">
        <v>171</v>
      </c>
      <c r="D236" s="65" t="s">
        <v>687</v>
      </c>
      <c r="E236" s="66"/>
      <c r="F236" s="347">
        <f>F237+F238+F242+F243</f>
        <v>394611362.60073602</v>
      </c>
      <c r="G236" s="347"/>
      <c r="H236" s="347">
        <f>H237+H238+H242+H243</f>
        <v>394611362.60073602</v>
      </c>
      <c r="I236" s="347"/>
      <c r="J236" s="347">
        <f>J237+J238+J242+J243</f>
        <v>394611362.60073602</v>
      </c>
      <c r="K236" s="347">
        <f t="shared" ref="K236:AI236" si="343">K237+K238+K242+K243</f>
        <v>409161373.95473999</v>
      </c>
      <c r="L236" s="347">
        <f t="shared" si="343"/>
        <v>362077183.57999998</v>
      </c>
      <c r="M236" s="347">
        <f t="shared" si="343"/>
        <v>4.9161310169384835</v>
      </c>
      <c r="N236" s="347">
        <f t="shared" si="343"/>
        <v>9465132.1400000006</v>
      </c>
      <c r="O236" s="347">
        <f t="shared" si="343"/>
        <v>0.42956111114888101</v>
      </c>
      <c r="P236" s="347">
        <f t="shared" si="343"/>
        <v>324242143.95000005</v>
      </c>
      <c r="Q236" s="347">
        <f t="shared" si="343"/>
        <v>4.0209921183923809</v>
      </c>
      <c r="R236" s="347">
        <f t="shared" si="343"/>
        <v>320956733.19</v>
      </c>
      <c r="S236" s="347">
        <f t="shared" si="343"/>
        <v>3.562686397142008</v>
      </c>
      <c r="T236" s="347">
        <f t="shared" si="343"/>
        <v>105478260.31</v>
      </c>
      <c r="U236" s="347">
        <f t="shared" si="343"/>
        <v>669010.04</v>
      </c>
      <c r="V236" s="347">
        <f t="shared" si="343"/>
        <v>124794763.42</v>
      </c>
      <c r="W236" s="347">
        <f t="shared" si="343"/>
        <v>36417596.810000002</v>
      </c>
      <c r="X236" s="347">
        <f t="shared" si="343"/>
        <v>3057697.6</v>
      </c>
      <c r="Y236" s="347">
        <f t="shared" si="343"/>
        <v>227884336.17000005</v>
      </c>
      <c r="Z236" s="347">
        <f t="shared" si="343"/>
        <v>142564867.16000003</v>
      </c>
      <c r="AA236" s="347">
        <f t="shared" si="343"/>
        <v>2588250</v>
      </c>
      <c r="AB236" s="347">
        <f t="shared" si="343"/>
        <v>0.36105372194808227</v>
      </c>
      <c r="AC236" s="347">
        <f t="shared" si="343"/>
        <v>230942033.77000004</v>
      </c>
      <c r="AD236" s="347">
        <f t="shared" si="343"/>
        <v>1.994681069920812</v>
      </c>
      <c r="AE236" s="347">
        <f t="shared" si="343"/>
        <v>4.5087733107458698E-3</v>
      </c>
      <c r="AF236" s="347">
        <f t="shared" si="343"/>
        <v>73654629.410735995</v>
      </c>
      <c r="AG236" s="347">
        <f t="shared" si="343"/>
        <v>2.437313602857992</v>
      </c>
      <c r="AH236" s="347" t="e">
        <f t="shared" si="343"/>
        <v>#VALUE!</v>
      </c>
      <c r="AI236" s="347">
        <f t="shared" si="343"/>
        <v>479778743.87459999</v>
      </c>
      <c r="AJ236" s="237" t="s">
        <v>408</v>
      </c>
      <c r="AK236" s="347">
        <f>AK237+AK238+AK242+AK243</f>
        <v>9116965.4504700266</v>
      </c>
      <c r="AL236" s="347">
        <f t="shared" ref="AL236" si="344">AL237+AL238+AL242+AL243</f>
        <v>9130000</v>
      </c>
      <c r="AM236" s="306">
        <f t="shared" si="320"/>
        <v>2.2313934259615448E-2</v>
      </c>
      <c r="AN236" s="125"/>
      <c r="AO236" s="347">
        <f t="shared" si="327"/>
        <v>9130000</v>
      </c>
      <c r="AP236" s="347">
        <f t="shared" ref="AP236:AQ236" si="345">AP237+AP238+AP242+AP243</f>
        <v>11912839</v>
      </c>
      <c r="AQ236" s="347">
        <f t="shared" si="345"/>
        <v>11912839</v>
      </c>
      <c r="AR236" s="306">
        <f t="shared" si="311"/>
        <v>2.911525808229825E-2</v>
      </c>
      <c r="AS236" s="92"/>
      <c r="AT236" s="92"/>
      <c r="AU236" s="380">
        <f t="shared" ref="AU236" si="346">AU237+AU238+AU242+AU243</f>
        <v>368394.82352941157</v>
      </c>
      <c r="AV236" s="253"/>
      <c r="AW236" s="289"/>
      <c r="AX236" s="245"/>
      <c r="AY236" s="245"/>
    </row>
    <row r="237" spans="1:51" s="94" customFormat="1" ht="102.75" customHeight="1">
      <c r="A237" s="377" t="s">
        <v>231</v>
      </c>
      <c r="B237" s="345" t="s">
        <v>659</v>
      </c>
      <c r="C237" s="178" t="s">
        <v>171</v>
      </c>
      <c r="D237" s="178" t="s">
        <v>687</v>
      </c>
      <c r="E237" s="202">
        <v>429510102</v>
      </c>
      <c r="F237" s="182">
        <f>E237*$E$6</f>
        <v>301861417.726008</v>
      </c>
      <c r="G237" s="182">
        <v>429510102</v>
      </c>
      <c r="H237" s="182">
        <f>G237*$G$6</f>
        <v>301861417.726008</v>
      </c>
      <c r="I237" s="202">
        <v>429510102</v>
      </c>
      <c r="J237" s="349">
        <f>I237*$I$6</f>
        <v>301861417.726008</v>
      </c>
      <c r="K237" s="349">
        <v>315612565.12648797</v>
      </c>
      <c r="L237" s="349">
        <v>299193290.56</v>
      </c>
      <c r="M237" s="179">
        <f t="shared" ref="M237:M256" si="347">L237/J237</f>
        <v>0.99116108581842755</v>
      </c>
      <c r="N237" s="349"/>
      <c r="O237" s="180">
        <f t="shared" si="304"/>
        <v>0</v>
      </c>
      <c r="P237" s="349">
        <v>273903619.04000002</v>
      </c>
      <c r="Q237" s="181">
        <f t="shared" si="331"/>
        <v>0.90738200695994686</v>
      </c>
      <c r="R237" s="349">
        <v>273903619.04000002</v>
      </c>
      <c r="S237" s="181">
        <f t="shared" si="332"/>
        <v>0.90738200695994686</v>
      </c>
      <c r="T237" s="182">
        <v>92624992.180000007</v>
      </c>
      <c r="U237" s="182"/>
      <c r="V237" s="182">
        <v>112393052.86</v>
      </c>
      <c r="W237" s="182">
        <v>30226557.25</v>
      </c>
      <c r="X237" s="182">
        <v>3003068.92</v>
      </c>
      <c r="Y237" s="182">
        <f t="shared" si="282"/>
        <v>202014976.12000003</v>
      </c>
      <c r="Z237" s="349">
        <f t="shared" si="316"/>
        <v>122851549.43000001</v>
      </c>
      <c r="AA237" s="349"/>
      <c r="AB237" s="179"/>
      <c r="AC237" s="199">
        <f>SUM(T237:V237)</f>
        <v>205018045.04000002</v>
      </c>
      <c r="AD237" s="181">
        <f t="shared" si="334"/>
        <v>0.67917936178942129</v>
      </c>
      <c r="AE237" s="179">
        <v>2.177598475642693E-3</v>
      </c>
      <c r="AF237" s="185">
        <f t="shared" si="318"/>
        <v>27957798.686007977</v>
      </c>
      <c r="AG237" s="186">
        <f t="shared" ref="AG237:AG262" si="348">AF237/J237</f>
        <v>9.2617993040053123E-2</v>
      </c>
      <c r="AH237" s="205" t="s">
        <v>418</v>
      </c>
      <c r="AI237" s="214">
        <v>335718511.27442396</v>
      </c>
      <c r="AJ237" s="239" t="s">
        <v>408</v>
      </c>
      <c r="AK237" s="349">
        <v>9000000</v>
      </c>
      <c r="AL237" s="349">
        <v>9000000</v>
      </c>
      <c r="AM237" s="207">
        <f t="shared" si="320"/>
        <v>2.8515974946666245E-2</v>
      </c>
      <c r="AN237" s="179" t="s">
        <v>409</v>
      </c>
      <c r="AO237" s="349">
        <f t="shared" si="327"/>
        <v>9000000</v>
      </c>
      <c r="AP237" s="349">
        <v>11000000</v>
      </c>
      <c r="AQ237" s="349">
        <v>11000000</v>
      </c>
      <c r="AR237" s="207">
        <f t="shared" si="311"/>
        <v>3.4852858268147636E-2</v>
      </c>
      <c r="AS237" s="189" t="s">
        <v>433</v>
      </c>
      <c r="AT237" s="189" t="s">
        <v>701</v>
      </c>
      <c r="AU237" s="391"/>
      <c r="AV237" s="256"/>
      <c r="AW237" s="289"/>
    </row>
    <row r="238" spans="1:51" s="80" customFormat="1" ht="50.45" customHeight="1">
      <c r="A238" s="381" t="s">
        <v>131</v>
      </c>
      <c r="B238" s="74" t="s">
        <v>660</v>
      </c>
      <c r="C238" s="75" t="s">
        <v>171</v>
      </c>
      <c r="D238" s="75" t="s">
        <v>687</v>
      </c>
      <c r="E238" s="78"/>
      <c r="F238" s="348">
        <f>F239+F240+F241</f>
        <v>81013118.074727997</v>
      </c>
      <c r="G238" s="348"/>
      <c r="H238" s="348">
        <f>H239+H240+H241</f>
        <v>81013118.074727997</v>
      </c>
      <c r="I238" s="348"/>
      <c r="J238" s="348">
        <f>J239+J240+J241</f>
        <v>81013118.074727997</v>
      </c>
      <c r="K238" s="348">
        <f t="shared" ref="K238:AI238" si="349">K239+K240+K241</f>
        <v>81013118.074727997</v>
      </c>
      <c r="L238" s="348">
        <f t="shared" si="349"/>
        <v>51668208.210000001</v>
      </c>
      <c r="M238" s="348">
        <f t="shared" si="349"/>
        <v>2.0074866946317136</v>
      </c>
      <c r="N238" s="348">
        <f t="shared" si="349"/>
        <v>9010332.1400000006</v>
      </c>
      <c r="O238" s="348">
        <f t="shared" si="349"/>
        <v>0.36611776806301688</v>
      </c>
      <c r="P238" s="348">
        <f t="shared" si="349"/>
        <v>40761498.339999996</v>
      </c>
      <c r="Q238" s="348">
        <f t="shared" si="349"/>
        <v>1.5740795895530135</v>
      </c>
      <c r="R238" s="348">
        <f t="shared" si="349"/>
        <v>40761498.339999996</v>
      </c>
      <c r="S238" s="348">
        <f t="shared" si="349"/>
        <v>1.5740795895530135</v>
      </c>
      <c r="T238" s="348">
        <f t="shared" si="349"/>
        <v>10414364.24</v>
      </c>
      <c r="U238" s="348">
        <f t="shared" si="349"/>
        <v>669010.04</v>
      </c>
      <c r="V238" s="348">
        <f t="shared" si="349"/>
        <v>12401710.559999999</v>
      </c>
      <c r="W238" s="348">
        <f t="shared" si="349"/>
        <v>6191039.5600000005</v>
      </c>
      <c r="X238" s="348">
        <f t="shared" si="349"/>
        <v>54628.68</v>
      </c>
      <c r="Y238" s="348">
        <f t="shared" si="349"/>
        <v>23430456.159999996</v>
      </c>
      <c r="Z238" s="348">
        <f t="shared" si="349"/>
        <v>17274413.84</v>
      </c>
      <c r="AA238" s="348">
        <f t="shared" si="349"/>
        <v>0</v>
      </c>
      <c r="AB238" s="348">
        <f t="shared" si="349"/>
        <v>0</v>
      </c>
      <c r="AC238" s="348">
        <f t="shared" si="349"/>
        <v>23485084.84</v>
      </c>
      <c r="AD238" s="348">
        <f t="shared" si="349"/>
        <v>0.94971673756706743</v>
      </c>
      <c r="AE238" s="348">
        <f t="shared" si="349"/>
        <v>2.3311748351031768E-3</v>
      </c>
      <c r="AF238" s="348">
        <f t="shared" si="349"/>
        <v>40251619.734728001</v>
      </c>
      <c r="AG238" s="348">
        <f t="shared" si="349"/>
        <v>1.4259204104469865</v>
      </c>
      <c r="AH238" s="348" t="e">
        <f t="shared" si="349"/>
        <v>#VALUE!</v>
      </c>
      <c r="AI238" s="348">
        <f t="shared" si="349"/>
        <v>131524541.846652</v>
      </c>
      <c r="AJ238" s="238" t="s">
        <v>409</v>
      </c>
      <c r="AK238" s="348">
        <f>AK239+AK240+AK241</f>
        <v>0</v>
      </c>
      <c r="AL238" s="348">
        <f t="shared" ref="AL238" si="350">AL239+AL240+AL241</f>
        <v>0</v>
      </c>
      <c r="AM238" s="92">
        <f t="shared" si="320"/>
        <v>0</v>
      </c>
      <c r="AN238" s="348"/>
      <c r="AO238" s="348">
        <f t="shared" si="327"/>
        <v>0</v>
      </c>
      <c r="AP238" s="348">
        <f t="shared" ref="AP238:AQ238" si="351">AP239+AP240+AP241</f>
        <v>782839</v>
      </c>
      <c r="AQ238" s="348">
        <f t="shared" si="351"/>
        <v>782839</v>
      </c>
      <c r="AR238" s="92">
        <f t="shared" si="311"/>
        <v>9.6631140561445235E-3</v>
      </c>
      <c r="AS238" s="92"/>
      <c r="AT238" s="92"/>
      <c r="AU238" s="382">
        <f>AU239+AU240+AU241</f>
        <v>368394.82352941157</v>
      </c>
      <c r="AV238" s="256"/>
      <c r="AW238" s="289"/>
    </row>
    <row r="239" spans="1:51" s="80" customFormat="1" ht="155.25" customHeight="1">
      <c r="A239" s="377" t="s">
        <v>248</v>
      </c>
      <c r="B239" s="345" t="s">
        <v>661</v>
      </c>
      <c r="C239" s="178" t="s">
        <v>171</v>
      </c>
      <c r="D239" s="178" t="s">
        <v>687</v>
      </c>
      <c r="E239" s="202">
        <v>19600000</v>
      </c>
      <c r="F239" s="182">
        <f>E239*$E$6</f>
        <v>13774958.4</v>
      </c>
      <c r="G239" s="202">
        <v>19600000</v>
      </c>
      <c r="H239" s="182">
        <f>G239*$G$6</f>
        <v>13774958.4</v>
      </c>
      <c r="I239" s="202">
        <v>19600000</v>
      </c>
      <c r="J239" s="349">
        <f>I239*$I$6</f>
        <v>13774958.4</v>
      </c>
      <c r="K239" s="349">
        <v>13774958.4</v>
      </c>
      <c r="L239" s="349">
        <v>8260809.4500000002</v>
      </c>
      <c r="M239" s="179">
        <f t="shared" si="347"/>
        <v>0.59969759690889524</v>
      </c>
      <c r="N239" s="349">
        <v>2314246.02</v>
      </c>
      <c r="O239" s="180">
        <f t="shared" si="304"/>
        <v>0.16800384820036915</v>
      </c>
      <c r="P239" s="349">
        <v>5946563.4299999997</v>
      </c>
      <c r="Q239" s="181">
        <f t="shared" si="331"/>
        <v>0.431693748708526</v>
      </c>
      <c r="R239" s="349">
        <v>5946563.4299999997</v>
      </c>
      <c r="S239" s="181">
        <f t="shared" si="332"/>
        <v>0.431693748708526</v>
      </c>
      <c r="T239" s="182">
        <v>1683635.98</v>
      </c>
      <c r="U239" s="182"/>
      <c r="V239" s="182">
        <v>1997639.71</v>
      </c>
      <c r="W239" s="182">
        <v>1219313.1000000001</v>
      </c>
      <c r="X239" s="182">
        <v>54596.92</v>
      </c>
      <c r="Y239" s="182">
        <f t="shared" si="282"/>
        <v>3626678.77</v>
      </c>
      <c r="Z239" s="349">
        <f t="shared" si="316"/>
        <v>2902949.08</v>
      </c>
      <c r="AA239" s="349"/>
      <c r="AB239" s="179"/>
      <c r="AC239" s="199">
        <f>SUM(T239:V239)</f>
        <v>3681275.69</v>
      </c>
      <c r="AD239" s="181">
        <f t="shared" si="334"/>
        <v>0.26724405135045631</v>
      </c>
      <c r="AE239" s="179">
        <v>2.3294845980371625E-3</v>
      </c>
      <c r="AF239" s="185">
        <f t="shared" si="318"/>
        <v>7828394.9700000007</v>
      </c>
      <c r="AG239" s="186">
        <f t="shared" si="348"/>
        <v>0.56830625129147394</v>
      </c>
      <c r="AH239" s="205" t="s">
        <v>376</v>
      </c>
      <c r="AI239" s="214">
        <v>20257290.772512</v>
      </c>
      <c r="AJ239" s="239" t="s">
        <v>408</v>
      </c>
      <c r="AK239" s="349">
        <v>0</v>
      </c>
      <c r="AL239" s="349">
        <v>0</v>
      </c>
      <c r="AM239" s="207">
        <f t="shared" si="320"/>
        <v>0</v>
      </c>
      <c r="AN239" s="349"/>
      <c r="AO239" s="349">
        <f t="shared" si="327"/>
        <v>0</v>
      </c>
      <c r="AP239" s="349">
        <v>782839</v>
      </c>
      <c r="AQ239" s="349">
        <v>782839</v>
      </c>
      <c r="AR239" s="207">
        <f t="shared" si="311"/>
        <v>5.6830589049183623E-2</v>
      </c>
      <c r="AS239" s="189" t="s">
        <v>433</v>
      </c>
      <c r="AT239" s="189" t="s">
        <v>724</v>
      </c>
      <c r="AU239" s="378">
        <f>(AP239/0.68)-AP239</f>
        <v>368394.82352941157</v>
      </c>
      <c r="AV239" s="256"/>
      <c r="AW239" s="289"/>
    </row>
    <row r="240" spans="1:51" s="80" customFormat="1" ht="58.5" customHeight="1">
      <c r="A240" s="375" t="s">
        <v>185</v>
      </c>
      <c r="B240" s="69" t="s">
        <v>662</v>
      </c>
      <c r="C240" s="70" t="s">
        <v>171</v>
      </c>
      <c r="D240" s="70" t="s">
        <v>687</v>
      </c>
      <c r="E240" s="107">
        <v>40100000</v>
      </c>
      <c r="F240" s="76">
        <f>E240*$E$6</f>
        <v>28182440.399999999</v>
      </c>
      <c r="G240" s="107">
        <v>40100000</v>
      </c>
      <c r="H240" s="76">
        <f>G240*$G$6</f>
        <v>28182440.399999999</v>
      </c>
      <c r="I240" s="107">
        <v>40100000</v>
      </c>
      <c r="J240" s="348">
        <f>I240*$I$6</f>
        <v>28182440.399999999</v>
      </c>
      <c r="K240" s="348">
        <v>28182440.399999999</v>
      </c>
      <c r="L240" s="348">
        <v>30000756.449999999</v>
      </c>
      <c r="M240" s="125">
        <f t="shared" si="347"/>
        <v>1.0645194675901808</v>
      </c>
      <c r="N240" s="348">
        <v>2699191.98</v>
      </c>
      <c r="O240" s="127">
        <f t="shared" si="304"/>
        <v>9.5775665332374846E-2</v>
      </c>
      <c r="P240" s="348">
        <v>25405186.739999998</v>
      </c>
      <c r="Q240" s="73">
        <f t="shared" si="331"/>
        <v>0.90145446524212292</v>
      </c>
      <c r="R240" s="348">
        <v>25405186.739999998</v>
      </c>
      <c r="S240" s="73">
        <f t="shared" si="332"/>
        <v>0.90145446524212292</v>
      </c>
      <c r="T240" s="76">
        <v>7352128.3500000006</v>
      </c>
      <c r="U240" s="76"/>
      <c r="V240" s="76">
        <v>10404070.85</v>
      </c>
      <c r="W240" s="76">
        <v>4971726.46</v>
      </c>
      <c r="X240" s="76">
        <v>31.76</v>
      </c>
      <c r="Y240" s="76">
        <f t="shared" si="282"/>
        <v>17756167.439999998</v>
      </c>
      <c r="Z240" s="348">
        <f t="shared" si="316"/>
        <v>12323854.810000001</v>
      </c>
      <c r="AA240" s="348"/>
      <c r="AB240" s="125"/>
      <c r="AC240" s="113">
        <f>SUM(T240:V240)</f>
        <v>17756199.199999999</v>
      </c>
      <c r="AD240" s="73">
        <f t="shared" si="334"/>
        <v>0.63004477071474618</v>
      </c>
      <c r="AE240" s="125">
        <v>1.6902370660144632E-6</v>
      </c>
      <c r="AF240" s="166">
        <f t="shared" si="318"/>
        <v>2777253.66</v>
      </c>
      <c r="AG240" s="167">
        <f t="shared" si="348"/>
        <v>9.8545534757877112E-2</v>
      </c>
      <c r="AH240" s="154" t="s">
        <v>377</v>
      </c>
      <c r="AI240" s="209">
        <v>33155812.524683997</v>
      </c>
      <c r="AJ240" s="238" t="s">
        <v>409</v>
      </c>
      <c r="AK240" s="348">
        <v>0</v>
      </c>
      <c r="AL240" s="348">
        <v>0</v>
      </c>
      <c r="AM240" s="92">
        <f t="shared" si="320"/>
        <v>0</v>
      </c>
      <c r="AN240" s="348"/>
      <c r="AO240" s="348">
        <f t="shared" si="327"/>
        <v>0</v>
      </c>
      <c r="AP240" s="301"/>
      <c r="AQ240" s="301"/>
      <c r="AR240" s="92">
        <f t="shared" si="311"/>
        <v>0</v>
      </c>
      <c r="AS240" s="301"/>
      <c r="AT240" s="301"/>
      <c r="AU240" s="382"/>
      <c r="AV240" s="256"/>
      <c r="AW240" s="289"/>
    </row>
    <row r="241" spans="1:51" s="80" customFormat="1" ht="64.5" customHeight="1">
      <c r="A241" s="375" t="s">
        <v>309</v>
      </c>
      <c r="B241" s="69" t="s">
        <v>663</v>
      </c>
      <c r="C241" s="70" t="s">
        <v>171</v>
      </c>
      <c r="D241" s="70" t="s">
        <v>687</v>
      </c>
      <c r="E241" s="107">
        <v>55571282</v>
      </c>
      <c r="F241" s="76">
        <f>E241*$E$6</f>
        <v>39055719.274728</v>
      </c>
      <c r="G241" s="107">
        <v>55571282</v>
      </c>
      <c r="H241" s="76">
        <f>G241*$G$6</f>
        <v>39055719.274728</v>
      </c>
      <c r="I241" s="107">
        <v>55571282</v>
      </c>
      <c r="J241" s="348">
        <f>I241*$I$6</f>
        <v>39055719.274728</v>
      </c>
      <c r="K241" s="348">
        <v>39055719.274728</v>
      </c>
      <c r="L241" s="348">
        <v>13406642.310000001</v>
      </c>
      <c r="M241" s="125">
        <f t="shared" si="347"/>
        <v>0.34326963013263745</v>
      </c>
      <c r="N241" s="348">
        <v>3996894.14</v>
      </c>
      <c r="O241" s="127">
        <f t="shared" si="304"/>
        <v>0.10233825453027291</v>
      </c>
      <c r="P241" s="348">
        <v>9409748.1699999999</v>
      </c>
      <c r="Q241" s="73">
        <f t="shared" si="331"/>
        <v>0.24093137560236452</v>
      </c>
      <c r="R241" s="348">
        <v>9409748.1699999999</v>
      </c>
      <c r="S241" s="73">
        <f t="shared" si="332"/>
        <v>0.24093137560236452</v>
      </c>
      <c r="T241" s="76">
        <v>1378599.91</v>
      </c>
      <c r="U241" s="76">
        <v>669010.04</v>
      </c>
      <c r="V241" s="76"/>
      <c r="W241" s="76">
        <v>0</v>
      </c>
      <c r="X241" s="76">
        <v>0</v>
      </c>
      <c r="Y241" s="76">
        <f t="shared" si="282"/>
        <v>2047609.95</v>
      </c>
      <c r="Z241" s="348">
        <f t="shared" si="316"/>
        <v>2047609.95</v>
      </c>
      <c r="AA241" s="348"/>
      <c r="AB241" s="125"/>
      <c r="AC241" s="113">
        <f>SUM(T241:V241)</f>
        <v>2047609.95</v>
      </c>
      <c r="AD241" s="73">
        <f t="shared" si="334"/>
        <v>5.2427915501865006E-2</v>
      </c>
      <c r="AE241" s="125">
        <v>0</v>
      </c>
      <c r="AF241" s="166">
        <f t="shared" si="318"/>
        <v>29645971.104727998</v>
      </c>
      <c r="AG241" s="167">
        <f t="shared" si="348"/>
        <v>0.75906862439763545</v>
      </c>
      <c r="AH241" s="154" t="s">
        <v>378</v>
      </c>
      <c r="AI241" s="209">
        <v>78111438.549456</v>
      </c>
      <c r="AJ241" s="238" t="s">
        <v>409</v>
      </c>
      <c r="AK241" s="348">
        <v>0</v>
      </c>
      <c r="AL241" s="348">
        <v>0</v>
      </c>
      <c r="AM241" s="92">
        <f t="shared" si="320"/>
        <v>0</v>
      </c>
      <c r="AN241" s="348"/>
      <c r="AO241" s="348">
        <f t="shared" si="327"/>
        <v>0</v>
      </c>
      <c r="AP241" s="301"/>
      <c r="AQ241" s="301"/>
      <c r="AR241" s="92">
        <f t="shared" si="311"/>
        <v>0</v>
      </c>
      <c r="AS241" s="301"/>
      <c r="AT241" s="301"/>
      <c r="AU241" s="382"/>
      <c r="AV241" s="256"/>
      <c r="AW241" s="289"/>
    </row>
    <row r="242" spans="1:51" s="80" customFormat="1" ht="60" customHeight="1">
      <c r="A242" s="375" t="s">
        <v>235</v>
      </c>
      <c r="B242" s="69" t="s">
        <v>664</v>
      </c>
      <c r="C242" s="70" t="s">
        <v>171</v>
      </c>
      <c r="D242" s="70" t="s">
        <v>687</v>
      </c>
      <c r="E242" s="107">
        <v>6500000</v>
      </c>
      <c r="F242" s="76">
        <f>E242*$E$6</f>
        <v>4568226</v>
      </c>
      <c r="G242" s="107">
        <v>6500000</v>
      </c>
      <c r="H242" s="76">
        <f>G242*$G$6</f>
        <v>4568226</v>
      </c>
      <c r="I242" s="107">
        <v>6500000</v>
      </c>
      <c r="J242" s="348">
        <f>I242*$I$6</f>
        <v>4568226</v>
      </c>
      <c r="K242" s="348">
        <v>4568226</v>
      </c>
      <c r="L242" s="348">
        <v>4444571.8499999996</v>
      </c>
      <c r="M242" s="125">
        <f t="shared" si="347"/>
        <v>0.97293169164572846</v>
      </c>
      <c r="N242" s="348"/>
      <c r="O242" s="127">
        <f t="shared" si="304"/>
        <v>0</v>
      </c>
      <c r="P242" s="348">
        <v>2563552.85</v>
      </c>
      <c r="Q242" s="73">
        <f t="shared" si="331"/>
        <v>0.56117032082037976</v>
      </c>
      <c r="R242" s="348">
        <v>2563552.85</v>
      </c>
      <c r="S242" s="73">
        <f t="shared" si="332"/>
        <v>0.56117032082037976</v>
      </c>
      <c r="T242" s="76">
        <v>321947.71000000002</v>
      </c>
      <c r="U242" s="76">
        <v>0</v>
      </c>
      <c r="V242" s="76">
        <v>0</v>
      </c>
      <c r="W242" s="76">
        <v>0</v>
      </c>
      <c r="X242" s="76">
        <v>0</v>
      </c>
      <c r="Y242" s="76">
        <f t="shared" si="282"/>
        <v>321947.71000000002</v>
      </c>
      <c r="Z242" s="348">
        <f t="shared" si="316"/>
        <v>321947.71000000002</v>
      </c>
      <c r="AA242" s="348"/>
      <c r="AB242" s="125"/>
      <c r="AC242" s="113">
        <f>SUM(T242:V242)</f>
        <v>321947.71000000002</v>
      </c>
      <c r="AD242" s="73">
        <f t="shared" si="334"/>
        <v>7.047543400873775E-2</v>
      </c>
      <c r="AE242" s="125">
        <v>0</v>
      </c>
      <c r="AF242" s="166">
        <f t="shared" si="318"/>
        <v>2004673.15</v>
      </c>
      <c r="AG242" s="167">
        <f t="shared" si="348"/>
        <v>0.43882967917962024</v>
      </c>
      <c r="AH242" s="154" t="s">
        <v>379</v>
      </c>
      <c r="AI242" s="209">
        <v>4568226</v>
      </c>
      <c r="AJ242" s="238" t="s">
        <v>409</v>
      </c>
      <c r="AK242" s="348">
        <v>0</v>
      </c>
      <c r="AL242" s="348">
        <v>0</v>
      </c>
      <c r="AM242" s="92">
        <f t="shared" si="320"/>
        <v>0</v>
      </c>
      <c r="AN242" s="348"/>
      <c r="AO242" s="348">
        <f t="shared" si="327"/>
        <v>0</v>
      </c>
      <c r="AP242" s="92"/>
      <c r="AQ242" s="92"/>
      <c r="AR242" s="92">
        <f t="shared" si="311"/>
        <v>0</v>
      </c>
      <c r="AS242" s="92"/>
      <c r="AT242" s="92"/>
      <c r="AU242" s="382"/>
      <c r="AV242" s="256"/>
      <c r="AW242" s="289"/>
    </row>
    <row r="243" spans="1:51" s="94" customFormat="1" ht="75.75" customHeight="1">
      <c r="A243" s="377" t="s">
        <v>310</v>
      </c>
      <c r="B243" s="345" t="s">
        <v>665</v>
      </c>
      <c r="C243" s="178" t="s">
        <v>171</v>
      </c>
      <c r="D243" s="178" t="s">
        <v>687</v>
      </c>
      <c r="E243" s="202">
        <v>10200000</v>
      </c>
      <c r="F243" s="182">
        <f>E243*$E$6</f>
        <v>7168600.7999999998</v>
      </c>
      <c r="G243" s="202">
        <v>10200000</v>
      </c>
      <c r="H243" s="182">
        <f>G243*$G$6</f>
        <v>7168600.7999999998</v>
      </c>
      <c r="I243" s="202">
        <v>10200000</v>
      </c>
      <c r="J243" s="349">
        <f>I243*$I$6</f>
        <v>7168600.7999999998</v>
      </c>
      <c r="K243" s="349">
        <v>7967464.7535239998</v>
      </c>
      <c r="L243" s="349">
        <v>6771112.96</v>
      </c>
      <c r="M243" s="179">
        <f t="shared" si="347"/>
        <v>0.94455154484261417</v>
      </c>
      <c r="N243" s="349">
        <v>454800</v>
      </c>
      <c r="O243" s="180">
        <f t="shared" si="304"/>
        <v>6.3443343085864121E-2</v>
      </c>
      <c r="P243" s="349">
        <v>7013473.7199999997</v>
      </c>
      <c r="Q243" s="181">
        <f t="shared" si="331"/>
        <v>0.97836020105904065</v>
      </c>
      <c r="R243" s="349">
        <v>3728062.96</v>
      </c>
      <c r="S243" s="181">
        <f t="shared" si="332"/>
        <v>0.52005447980866781</v>
      </c>
      <c r="T243" s="182">
        <v>2116956.1799999997</v>
      </c>
      <c r="U243" s="182">
        <v>0</v>
      </c>
      <c r="V243" s="182">
        <v>0</v>
      </c>
      <c r="W243" s="182">
        <v>0</v>
      </c>
      <c r="X243" s="182">
        <v>0</v>
      </c>
      <c r="Y243" s="182">
        <f t="shared" si="282"/>
        <v>2116956.1799999997</v>
      </c>
      <c r="Z243" s="349">
        <f t="shared" si="316"/>
        <v>2116956.1799999997</v>
      </c>
      <c r="AA243" s="349">
        <v>2588250</v>
      </c>
      <c r="AB243" s="196">
        <f>AA243/J243</f>
        <v>0.36105372194808227</v>
      </c>
      <c r="AC243" s="199">
        <f>SUM(T243:V243)</f>
        <v>2116956.1799999997</v>
      </c>
      <c r="AD243" s="181">
        <f t="shared" si="334"/>
        <v>0.29530953655558556</v>
      </c>
      <c r="AE243" s="179">
        <v>0</v>
      </c>
      <c r="AF243" s="185">
        <f t="shared" si="318"/>
        <v>3440537.84</v>
      </c>
      <c r="AG243" s="186">
        <f t="shared" si="348"/>
        <v>0.47994552019133219</v>
      </c>
      <c r="AH243" s="205" t="s">
        <v>380</v>
      </c>
      <c r="AI243" s="214">
        <v>7967464.7535239998</v>
      </c>
      <c r="AJ243" s="239" t="s">
        <v>408</v>
      </c>
      <c r="AK243" s="349">
        <v>116965.45047002734</v>
      </c>
      <c r="AL243" s="349">
        <v>130000</v>
      </c>
      <c r="AM243" s="207">
        <f t="shared" si="320"/>
        <v>1.6316357087428741E-2</v>
      </c>
      <c r="AN243" s="349"/>
      <c r="AO243" s="349">
        <f t="shared" si="327"/>
        <v>130000</v>
      </c>
      <c r="AP243" s="349">
        <v>130000</v>
      </c>
      <c r="AQ243" s="349">
        <v>130000</v>
      </c>
      <c r="AR243" s="207">
        <f t="shared" si="311"/>
        <v>1.6316357087428741E-2</v>
      </c>
      <c r="AS243" s="309" t="s">
        <v>433</v>
      </c>
      <c r="AT243" s="309" t="s">
        <v>705</v>
      </c>
      <c r="AU243" s="378"/>
      <c r="AV243" s="255"/>
      <c r="AW243" s="289"/>
      <c r="AX243" s="245"/>
      <c r="AY243" s="245"/>
    </row>
    <row r="244" spans="1:51" s="95" customFormat="1">
      <c r="A244" s="373" t="s">
        <v>132</v>
      </c>
      <c r="B244" s="64" t="s">
        <v>666</v>
      </c>
      <c r="C244" s="65" t="s">
        <v>171</v>
      </c>
      <c r="D244" s="65" t="s">
        <v>138</v>
      </c>
      <c r="E244" s="66"/>
      <c r="F244" s="347">
        <f>F245+F248+F249+F250</f>
        <v>76696099.525272012</v>
      </c>
      <c r="G244" s="347"/>
      <c r="H244" s="347">
        <f>H245+H248+H249+H250</f>
        <v>76696099.525272012</v>
      </c>
      <c r="I244" s="347"/>
      <c r="J244" s="347">
        <f>J245+J248+J249+J250</f>
        <v>76696099.525272012</v>
      </c>
      <c r="K244" s="347">
        <f t="shared" ref="K244:AI244" si="352">K245+K248+K249+K250</f>
        <v>76696099.525272012</v>
      </c>
      <c r="L244" s="347">
        <f t="shared" si="352"/>
        <v>127893948.16</v>
      </c>
      <c r="M244" s="347">
        <f t="shared" si="352"/>
        <v>5.0442090112907749</v>
      </c>
      <c r="N244" s="347">
        <f t="shared" si="352"/>
        <v>80055173.590000004</v>
      </c>
      <c r="O244" s="347">
        <f t="shared" si="352"/>
        <v>3.3875828966051014</v>
      </c>
      <c r="P244" s="347">
        <f t="shared" si="352"/>
        <v>47254384.93</v>
      </c>
      <c r="Q244" s="347">
        <f t="shared" si="352"/>
        <v>1.6116998222186589</v>
      </c>
      <c r="R244" s="347">
        <f t="shared" si="352"/>
        <v>47254384.93</v>
      </c>
      <c r="S244" s="347">
        <f t="shared" si="352"/>
        <v>1.6116998222186589</v>
      </c>
      <c r="T244" s="347">
        <f t="shared" si="352"/>
        <v>5354985.17</v>
      </c>
      <c r="U244" s="347">
        <f t="shared" si="352"/>
        <v>9026413.0899999999</v>
      </c>
      <c r="V244" s="347">
        <f t="shared" si="352"/>
        <v>0</v>
      </c>
      <c r="W244" s="347">
        <f t="shared" si="352"/>
        <v>0</v>
      </c>
      <c r="X244" s="347">
        <f t="shared" ca="1" si="352"/>
        <v>0</v>
      </c>
      <c r="Y244" s="347">
        <f t="shared" ca="1" si="352"/>
        <v>14381398.260000002</v>
      </c>
      <c r="Z244" s="347">
        <f t="shared" si="352"/>
        <v>14381398.260000002</v>
      </c>
      <c r="AA244" s="347">
        <f t="shared" si="352"/>
        <v>0</v>
      </c>
      <c r="AB244" s="347">
        <f t="shared" si="352"/>
        <v>0</v>
      </c>
      <c r="AC244" s="347">
        <f t="shared" si="352"/>
        <v>14381398.260000002</v>
      </c>
      <c r="AD244" s="347">
        <f t="shared" si="352"/>
        <v>0.46639472473354071</v>
      </c>
      <c r="AE244" s="347">
        <f t="shared" si="352"/>
        <v>6.6006580595105177E-3</v>
      </c>
      <c r="AF244" s="347">
        <f t="shared" si="352"/>
        <v>29441713.913400002</v>
      </c>
      <c r="AG244" s="347" t="e">
        <f t="shared" si="352"/>
        <v>#DIV/0!</v>
      </c>
      <c r="AH244" s="347" t="e">
        <f t="shared" si="352"/>
        <v>#VALUE!</v>
      </c>
      <c r="AI244" s="347">
        <f t="shared" si="352"/>
        <v>153392199.05054402</v>
      </c>
      <c r="AJ244" s="234" t="s">
        <v>408</v>
      </c>
      <c r="AK244" s="347">
        <f>AK245+AK248+AK249+AK250</f>
        <v>0</v>
      </c>
      <c r="AL244" s="347">
        <f t="shared" ref="AL244" si="353">AL245+AL248+AL249+AL250</f>
        <v>0</v>
      </c>
      <c r="AM244" s="306">
        <f t="shared" si="320"/>
        <v>0</v>
      </c>
      <c r="AN244" s="348"/>
      <c r="AO244" s="347">
        <f t="shared" si="327"/>
        <v>0</v>
      </c>
      <c r="AP244" s="347">
        <f>AP245+AP248+AP249+AP250</f>
        <v>0</v>
      </c>
      <c r="AQ244" s="347">
        <f>AQ245+AQ248+AQ249+AQ250</f>
        <v>0</v>
      </c>
      <c r="AR244" s="306">
        <f t="shared" si="311"/>
        <v>0</v>
      </c>
      <c r="AS244" s="92"/>
      <c r="AT244" s="92"/>
      <c r="AU244" s="380"/>
      <c r="AV244" s="257"/>
      <c r="AW244" s="289"/>
      <c r="AX244" s="245"/>
      <c r="AY244" s="245"/>
    </row>
    <row r="245" spans="1:51" s="96" customFormat="1" ht="71.25" customHeight="1">
      <c r="A245" s="375" t="s">
        <v>219</v>
      </c>
      <c r="B245" s="69" t="s">
        <v>667</v>
      </c>
      <c r="C245" s="70" t="s">
        <v>171</v>
      </c>
      <c r="D245" s="70" t="s">
        <v>155</v>
      </c>
      <c r="E245" s="78"/>
      <c r="F245" s="78">
        <f>F246+F247</f>
        <v>55330599.293400005</v>
      </c>
      <c r="G245" s="78"/>
      <c r="H245" s="78">
        <f t="shared" ref="H245" si="354">H246+H247</f>
        <v>55330599.293400005</v>
      </c>
      <c r="I245" s="78"/>
      <c r="J245" s="78">
        <f>J246+J247</f>
        <v>55330599.293400005</v>
      </c>
      <c r="K245" s="78">
        <f t="shared" ref="K245:AI245" si="355">K246+K247</f>
        <v>55330599.293400005</v>
      </c>
      <c r="L245" s="78">
        <f t="shared" si="355"/>
        <v>41978340.109999999</v>
      </c>
      <c r="M245" s="78">
        <f t="shared" si="355"/>
        <v>1.0229781897518844</v>
      </c>
      <c r="N245" s="78">
        <f t="shared" si="355"/>
        <v>15505065.09</v>
      </c>
      <c r="O245" s="78">
        <f t="shared" si="355"/>
        <v>0.36635204315158221</v>
      </c>
      <c r="P245" s="78">
        <f t="shared" si="355"/>
        <v>25888885.379999999</v>
      </c>
      <c r="Q245" s="78">
        <f t="shared" si="355"/>
        <v>0.61169985413328731</v>
      </c>
      <c r="R245" s="78">
        <f t="shared" si="355"/>
        <v>25888885.379999999</v>
      </c>
      <c r="S245" s="78">
        <f t="shared" si="355"/>
        <v>0.61169985413328731</v>
      </c>
      <c r="T245" s="78">
        <f t="shared" si="355"/>
        <v>3257468.9400000004</v>
      </c>
      <c r="U245" s="78">
        <f t="shared" si="355"/>
        <v>5661828.2800000003</v>
      </c>
      <c r="V245" s="78">
        <f t="shared" si="355"/>
        <v>0</v>
      </c>
      <c r="W245" s="78">
        <f t="shared" si="355"/>
        <v>0</v>
      </c>
      <c r="X245" s="78">
        <f t="shared" ca="1" si="355"/>
        <v>0</v>
      </c>
      <c r="Y245" s="78">
        <f t="shared" ca="1" si="355"/>
        <v>8919297.2200000007</v>
      </c>
      <c r="Z245" s="78">
        <f t="shared" si="355"/>
        <v>8919297.2200000007</v>
      </c>
      <c r="AA245" s="78">
        <f t="shared" si="355"/>
        <v>0</v>
      </c>
      <c r="AB245" s="78">
        <f t="shared" si="355"/>
        <v>0</v>
      </c>
      <c r="AC245" s="78">
        <f t="shared" si="355"/>
        <v>8919297.2200000007</v>
      </c>
      <c r="AD245" s="78">
        <f t="shared" si="355"/>
        <v>0.210744214297473</v>
      </c>
      <c r="AE245" s="78">
        <f t="shared" si="355"/>
        <v>6.6006580595105177E-3</v>
      </c>
      <c r="AF245" s="78">
        <f t="shared" si="355"/>
        <v>29441713.913400002</v>
      </c>
      <c r="AG245" s="78">
        <f t="shared" si="355"/>
        <v>1.3883001458667126</v>
      </c>
      <c r="AH245" s="78" t="e">
        <f t="shared" si="355"/>
        <v>#VALUE!</v>
      </c>
      <c r="AI245" s="78">
        <f t="shared" si="355"/>
        <v>110661198.58680001</v>
      </c>
      <c r="AJ245" s="238" t="s">
        <v>409</v>
      </c>
      <c r="AK245" s="78">
        <f>AK246+AK247</f>
        <v>0</v>
      </c>
      <c r="AL245" s="78">
        <f t="shared" ref="AL245" si="356">AL246+AL247</f>
        <v>0</v>
      </c>
      <c r="AM245" s="92">
        <f t="shared" si="320"/>
        <v>0</v>
      </c>
      <c r="AN245" s="348"/>
      <c r="AO245" s="78">
        <f t="shared" si="327"/>
        <v>0</v>
      </c>
      <c r="AP245" s="78">
        <f>AP246+AP247</f>
        <v>0</v>
      </c>
      <c r="AQ245" s="78">
        <f>AQ246+AQ247</f>
        <v>0</v>
      </c>
      <c r="AR245" s="92">
        <f t="shared" si="311"/>
        <v>0</v>
      </c>
      <c r="AS245" s="92"/>
      <c r="AT245" s="92"/>
      <c r="AU245" s="383"/>
      <c r="AV245" s="253"/>
      <c r="AW245" s="289"/>
      <c r="AX245" s="245"/>
      <c r="AY245" s="245"/>
    </row>
    <row r="246" spans="1:51" s="96" customFormat="1" ht="67.150000000000006" customHeight="1">
      <c r="A246" s="375" t="s">
        <v>227</v>
      </c>
      <c r="B246" s="69" t="s">
        <v>668</v>
      </c>
      <c r="C246" s="70" t="s">
        <v>171</v>
      </c>
      <c r="D246" s="70" t="s">
        <v>155</v>
      </c>
      <c r="E246" s="107">
        <v>60220000</v>
      </c>
      <c r="F246" s="76">
        <f>E246*$E$6</f>
        <v>42322856.880000003</v>
      </c>
      <c r="G246" s="107">
        <v>60220000</v>
      </c>
      <c r="H246" s="76">
        <f>G246*$G$6</f>
        <v>42322856.880000003</v>
      </c>
      <c r="I246" s="107">
        <v>60220000</v>
      </c>
      <c r="J246" s="348">
        <f>I246*$I$6</f>
        <v>42322856.880000003</v>
      </c>
      <c r="K246" s="348">
        <v>42322856.880000003</v>
      </c>
      <c r="L246" s="348">
        <v>41393950.469999999</v>
      </c>
      <c r="M246" s="125">
        <f t="shared" si="347"/>
        <v>0.97805189728486963</v>
      </c>
      <c r="N246" s="348">
        <v>15505065.09</v>
      </c>
      <c r="O246" s="132">
        <f t="shared" si="304"/>
        <v>0.36635204315158221</v>
      </c>
      <c r="P246" s="348">
        <v>25888885.379999999</v>
      </c>
      <c r="Q246" s="73">
        <f t="shared" si="331"/>
        <v>0.61169985413328731</v>
      </c>
      <c r="R246" s="348">
        <v>25888885.379999999</v>
      </c>
      <c r="S246" s="73">
        <f t="shared" si="332"/>
        <v>0.61169985413328731</v>
      </c>
      <c r="T246" s="76">
        <v>3257468.9400000004</v>
      </c>
      <c r="U246" s="76">
        <v>5661828.2800000003</v>
      </c>
      <c r="V246" s="76">
        <v>0</v>
      </c>
      <c r="W246" s="76">
        <v>0</v>
      </c>
      <c r="X246" s="76">
        <f t="shared" ref="X246" ca="1" si="357">X245</f>
        <v>0</v>
      </c>
      <c r="Y246" s="76">
        <f t="shared" ca="1" si="282"/>
        <v>8919297.2200000007</v>
      </c>
      <c r="Z246" s="348">
        <f t="shared" si="316"/>
        <v>8919297.2200000007</v>
      </c>
      <c r="AA246" s="348"/>
      <c r="AB246" s="125"/>
      <c r="AC246" s="113">
        <f>SUM(T246:V246)</f>
        <v>8919297.2200000007</v>
      </c>
      <c r="AD246" s="73">
        <f t="shared" si="334"/>
        <v>0.210744214297473</v>
      </c>
      <c r="AE246" s="125">
        <v>6.6006580595105177E-3</v>
      </c>
      <c r="AF246" s="169">
        <f t="shared" si="318"/>
        <v>16433971.500000004</v>
      </c>
      <c r="AG246" s="177">
        <f t="shared" si="348"/>
        <v>0.38830014586671263</v>
      </c>
      <c r="AH246" s="143" t="s">
        <v>417</v>
      </c>
      <c r="AI246" s="210">
        <v>84645713.760000005</v>
      </c>
      <c r="AJ246" s="238" t="s">
        <v>409</v>
      </c>
      <c r="AK246" s="348">
        <v>0</v>
      </c>
      <c r="AL246" s="348">
        <v>0</v>
      </c>
      <c r="AM246" s="92">
        <f t="shared" si="320"/>
        <v>0</v>
      </c>
      <c r="AN246" s="125" t="s">
        <v>408</v>
      </c>
      <c r="AO246" s="348">
        <f t="shared" si="327"/>
        <v>0</v>
      </c>
      <c r="AP246" s="302"/>
      <c r="AQ246" s="302"/>
      <c r="AR246" s="92">
        <f t="shared" si="311"/>
        <v>0</v>
      </c>
      <c r="AS246" s="302"/>
      <c r="AT246" s="302"/>
      <c r="AU246" s="382"/>
      <c r="AV246" s="256"/>
      <c r="AW246" s="289"/>
    </row>
    <row r="247" spans="1:51" s="96" customFormat="1" ht="67.150000000000006" customHeight="1">
      <c r="A247" s="375" t="s">
        <v>210</v>
      </c>
      <c r="B247" s="69" t="s">
        <v>669</v>
      </c>
      <c r="C247" s="70" t="s">
        <v>171</v>
      </c>
      <c r="D247" s="70" t="s">
        <v>155</v>
      </c>
      <c r="E247" s="107">
        <v>18508350</v>
      </c>
      <c r="F247" s="76">
        <f>E247*$E$6</f>
        <v>13007742.4134</v>
      </c>
      <c r="G247" s="107">
        <v>18508350</v>
      </c>
      <c r="H247" s="76">
        <f>G247*$G$6</f>
        <v>13007742.4134</v>
      </c>
      <c r="I247" s="107">
        <v>18508350</v>
      </c>
      <c r="J247" s="348">
        <f>I247*$I$6</f>
        <v>13007742.4134</v>
      </c>
      <c r="K247" s="348">
        <v>13007742.4134</v>
      </c>
      <c r="L247" s="348">
        <v>584389.64</v>
      </c>
      <c r="M247" s="125">
        <f t="shared" si="347"/>
        <v>4.4926292467014697E-2</v>
      </c>
      <c r="N247" s="348"/>
      <c r="O247" s="127">
        <f t="shared" si="304"/>
        <v>0</v>
      </c>
      <c r="P247" s="348">
        <v>0</v>
      </c>
      <c r="Q247" s="73">
        <f t="shared" si="331"/>
        <v>0</v>
      </c>
      <c r="R247" s="348">
        <v>0</v>
      </c>
      <c r="S247" s="73">
        <v>0</v>
      </c>
      <c r="T247" s="76">
        <v>0</v>
      </c>
      <c r="U247" s="76">
        <v>0</v>
      </c>
      <c r="V247" s="76">
        <v>0</v>
      </c>
      <c r="W247" s="76">
        <v>0</v>
      </c>
      <c r="X247" s="76">
        <v>0</v>
      </c>
      <c r="Y247" s="76">
        <v>0</v>
      </c>
      <c r="Z247" s="348">
        <f t="shared" si="316"/>
        <v>0</v>
      </c>
      <c r="AA247" s="348"/>
      <c r="AB247" s="125"/>
      <c r="AC247" s="113">
        <f>SUM(T247:V247)</f>
        <v>0</v>
      </c>
      <c r="AD247" s="73">
        <v>0</v>
      </c>
      <c r="AE247" s="125"/>
      <c r="AF247" s="166">
        <f t="shared" si="318"/>
        <v>13007742.4134</v>
      </c>
      <c r="AG247" s="167">
        <f t="shared" si="348"/>
        <v>1</v>
      </c>
      <c r="AH247" s="143" t="s">
        <v>334</v>
      </c>
      <c r="AI247" s="210">
        <v>26015484.8268</v>
      </c>
      <c r="AJ247" s="238" t="s">
        <v>409</v>
      </c>
      <c r="AK247" s="348">
        <v>0</v>
      </c>
      <c r="AL247" s="348">
        <v>0</v>
      </c>
      <c r="AM247" s="92">
        <f t="shared" si="320"/>
        <v>0</v>
      </c>
      <c r="AN247" s="348"/>
      <c r="AO247" s="348">
        <f t="shared" si="327"/>
        <v>0</v>
      </c>
      <c r="AP247" s="92"/>
      <c r="AQ247" s="92"/>
      <c r="AR247" s="92">
        <f t="shared" si="311"/>
        <v>0</v>
      </c>
      <c r="AS247" s="92"/>
      <c r="AT247" s="92"/>
      <c r="AU247" s="382"/>
      <c r="AV247" s="256"/>
      <c r="AW247" s="289"/>
    </row>
    <row r="248" spans="1:51" s="80" customFormat="1" ht="33.6" customHeight="1">
      <c r="A248" s="375" t="s">
        <v>175</v>
      </c>
      <c r="B248" s="69" t="s">
        <v>670</v>
      </c>
      <c r="C248" s="70" t="s">
        <v>171</v>
      </c>
      <c r="D248" s="70" t="s">
        <v>155</v>
      </c>
      <c r="E248" s="107">
        <v>30400368</v>
      </c>
      <c r="F248" s="76">
        <f>E248*$E$6</f>
        <v>21365500.231872</v>
      </c>
      <c r="G248" s="107">
        <v>30400368</v>
      </c>
      <c r="H248" s="76">
        <f>G248*$G$6</f>
        <v>21365500.231872</v>
      </c>
      <c r="I248" s="107">
        <v>30400368</v>
      </c>
      <c r="J248" s="348">
        <f>I248*$I$6</f>
        <v>21365500.231872</v>
      </c>
      <c r="K248" s="348">
        <v>21365500.231872</v>
      </c>
      <c r="L248" s="348">
        <v>85915608.049999997</v>
      </c>
      <c r="M248" s="125">
        <f t="shared" si="347"/>
        <v>4.0212308215388903</v>
      </c>
      <c r="N248" s="348">
        <v>64550108.5</v>
      </c>
      <c r="O248" s="127">
        <f t="shared" si="304"/>
        <v>3.021230853453519</v>
      </c>
      <c r="P248" s="348">
        <v>21365499.550000001</v>
      </c>
      <c r="Q248" s="73">
        <f t="shared" si="331"/>
        <v>0.99999996808537162</v>
      </c>
      <c r="R248" s="348">
        <v>21365499.550000001</v>
      </c>
      <c r="S248" s="73">
        <f>R248/J248</f>
        <v>0.99999996808537162</v>
      </c>
      <c r="T248" s="76">
        <v>2097516.23</v>
      </c>
      <c r="U248" s="76">
        <v>3364584.81</v>
      </c>
      <c r="V248" s="76">
        <v>0</v>
      </c>
      <c r="W248" s="76">
        <v>0</v>
      </c>
      <c r="X248" s="76">
        <v>0</v>
      </c>
      <c r="Y248" s="76">
        <f t="shared" si="282"/>
        <v>5462101.04</v>
      </c>
      <c r="Z248" s="348">
        <f t="shared" si="316"/>
        <v>5462101.04</v>
      </c>
      <c r="AA248" s="348"/>
      <c r="AB248" s="125"/>
      <c r="AC248" s="113">
        <f t="shared" ref="AC248:AC250" si="358">SUM(T248:V248)</f>
        <v>5462101.04</v>
      </c>
      <c r="AD248" s="73">
        <f>AC248/J248</f>
        <v>0.25565051043606773</v>
      </c>
      <c r="AE248" s="125">
        <v>0</v>
      </c>
      <c r="AF248" s="166">
        <v>0</v>
      </c>
      <c r="AG248" s="167">
        <f t="shared" si="348"/>
        <v>0</v>
      </c>
      <c r="AH248" s="92"/>
      <c r="AI248" s="348">
        <v>42731000.463744</v>
      </c>
      <c r="AJ248" s="238" t="s">
        <v>409</v>
      </c>
      <c r="AK248" s="348">
        <v>0</v>
      </c>
      <c r="AL248" s="348">
        <v>0</v>
      </c>
      <c r="AM248" s="92">
        <f t="shared" si="320"/>
        <v>0</v>
      </c>
      <c r="AN248" s="348"/>
      <c r="AO248" s="348">
        <f t="shared" si="327"/>
        <v>0</v>
      </c>
      <c r="AP248" s="92"/>
      <c r="AQ248" s="92"/>
      <c r="AR248" s="92">
        <f t="shared" si="311"/>
        <v>0</v>
      </c>
      <c r="AS248" s="92"/>
      <c r="AT248" s="92"/>
      <c r="AU248" s="382"/>
      <c r="AV248" s="256"/>
      <c r="AW248" s="289"/>
    </row>
    <row r="249" spans="1:51" s="80" customFormat="1" ht="50.45" customHeight="1">
      <c r="A249" s="375" t="s">
        <v>133</v>
      </c>
      <c r="B249" s="69" t="s">
        <v>671</v>
      </c>
      <c r="C249" s="70" t="s">
        <v>171</v>
      </c>
      <c r="D249" s="70" t="s">
        <v>155</v>
      </c>
      <c r="E249" s="107">
        <v>0</v>
      </c>
      <c r="F249" s="76">
        <f>E249*$E$6</f>
        <v>0</v>
      </c>
      <c r="G249" s="107">
        <v>0</v>
      </c>
      <c r="H249" s="76">
        <f>G249*$G$6</f>
        <v>0</v>
      </c>
      <c r="I249" s="107">
        <v>0</v>
      </c>
      <c r="J249" s="348">
        <f>I249*$I$6</f>
        <v>0</v>
      </c>
      <c r="K249" s="348">
        <v>0</v>
      </c>
      <c r="L249" s="348"/>
      <c r="M249" s="125"/>
      <c r="N249" s="348"/>
      <c r="O249" s="127"/>
      <c r="P249" s="348">
        <v>0</v>
      </c>
      <c r="Q249" s="73"/>
      <c r="R249" s="348">
        <v>0</v>
      </c>
      <c r="S249" s="73"/>
      <c r="T249" s="76">
        <v>0</v>
      </c>
      <c r="U249" s="76">
        <v>0</v>
      </c>
      <c r="V249" s="76">
        <v>0</v>
      </c>
      <c r="W249" s="76">
        <v>0</v>
      </c>
      <c r="X249" s="76">
        <v>0</v>
      </c>
      <c r="Y249" s="76">
        <f t="shared" ref="Y249:Y262" si="359">AC249-X249</f>
        <v>0</v>
      </c>
      <c r="Z249" s="348">
        <f t="shared" si="316"/>
        <v>0</v>
      </c>
      <c r="AA249" s="348"/>
      <c r="AB249" s="125"/>
      <c r="AC249" s="113">
        <f t="shared" si="358"/>
        <v>0</v>
      </c>
      <c r="AD249" s="73"/>
      <c r="AE249" s="125"/>
      <c r="AF249" s="166">
        <f t="shared" ref="AF249:AF262" si="360">J249-R249</f>
        <v>0</v>
      </c>
      <c r="AG249" s="167" t="e">
        <f t="shared" si="348"/>
        <v>#DIV/0!</v>
      </c>
      <c r="AH249" s="92"/>
      <c r="AI249" s="348">
        <v>0</v>
      </c>
      <c r="AJ249" s="238" t="s">
        <v>409</v>
      </c>
      <c r="AK249" s="348">
        <v>0</v>
      </c>
      <c r="AL249" s="348">
        <v>0</v>
      </c>
      <c r="AM249" s="92">
        <v>0</v>
      </c>
      <c r="AN249" s="348"/>
      <c r="AO249" s="348">
        <f t="shared" si="327"/>
        <v>0</v>
      </c>
      <c r="AP249" s="92"/>
      <c r="AQ249" s="92"/>
      <c r="AR249" s="92" t="e">
        <f t="shared" si="311"/>
        <v>#DIV/0!</v>
      </c>
      <c r="AS249" s="92"/>
      <c r="AT249" s="92"/>
      <c r="AU249" s="382"/>
      <c r="AV249" s="256"/>
      <c r="AW249" s="289"/>
    </row>
    <row r="250" spans="1:51" s="94" customFormat="1" ht="49.5">
      <c r="A250" s="375" t="s">
        <v>134</v>
      </c>
      <c r="B250" s="69" t="s">
        <v>672</v>
      </c>
      <c r="C250" s="70" t="s">
        <v>171</v>
      </c>
      <c r="D250" s="70" t="s">
        <v>155</v>
      </c>
      <c r="E250" s="107">
        <v>0</v>
      </c>
      <c r="F250" s="76">
        <f>E250*$E$6</f>
        <v>0</v>
      </c>
      <c r="G250" s="107">
        <v>0</v>
      </c>
      <c r="H250" s="76">
        <f>G250*$G$6</f>
        <v>0</v>
      </c>
      <c r="I250" s="107">
        <v>0</v>
      </c>
      <c r="J250" s="348">
        <f>I250*$I$6</f>
        <v>0</v>
      </c>
      <c r="K250" s="348">
        <v>0</v>
      </c>
      <c r="L250" s="348"/>
      <c r="M250" s="125"/>
      <c r="N250" s="348"/>
      <c r="O250" s="127"/>
      <c r="P250" s="348">
        <v>0</v>
      </c>
      <c r="Q250" s="73"/>
      <c r="R250" s="348">
        <v>0</v>
      </c>
      <c r="S250" s="73"/>
      <c r="T250" s="76">
        <v>0</v>
      </c>
      <c r="U250" s="76">
        <v>0</v>
      </c>
      <c r="V250" s="76">
        <v>0</v>
      </c>
      <c r="W250" s="76">
        <v>0</v>
      </c>
      <c r="X250" s="76">
        <v>0</v>
      </c>
      <c r="Y250" s="76">
        <f t="shared" si="359"/>
        <v>0</v>
      </c>
      <c r="Z250" s="348">
        <f t="shared" si="316"/>
        <v>0</v>
      </c>
      <c r="AA250" s="348"/>
      <c r="AB250" s="125"/>
      <c r="AC250" s="113">
        <f t="shared" si="358"/>
        <v>0</v>
      </c>
      <c r="AD250" s="73"/>
      <c r="AE250" s="125"/>
      <c r="AF250" s="166">
        <f t="shared" si="360"/>
        <v>0</v>
      </c>
      <c r="AG250" s="167" t="e">
        <f t="shared" si="348"/>
        <v>#DIV/0!</v>
      </c>
      <c r="AH250" s="92"/>
      <c r="AI250" s="348">
        <v>0</v>
      </c>
      <c r="AJ250" s="238" t="s">
        <v>409</v>
      </c>
      <c r="AK250" s="348">
        <v>0</v>
      </c>
      <c r="AL250" s="348">
        <v>0</v>
      </c>
      <c r="AM250" s="92">
        <v>0</v>
      </c>
      <c r="AN250" s="348"/>
      <c r="AO250" s="348">
        <f t="shared" si="327"/>
        <v>0</v>
      </c>
      <c r="AP250" s="92"/>
      <c r="AQ250" s="92"/>
      <c r="AR250" s="92" t="e">
        <f t="shared" si="311"/>
        <v>#DIV/0!</v>
      </c>
      <c r="AS250" s="92"/>
      <c r="AT250" s="92"/>
      <c r="AU250" s="382"/>
      <c r="AV250" s="255"/>
      <c r="AW250" s="289"/>
      <c r="AX250" s="245"/>
      <c r="AY250" s="245"/>
    </row>
    <row r="251" spans="1:51" s="94" customFormat="1" ht="33">
      <c r="A251" s="373" t="s">
        <v>135</v>
      </c>
      <c r="B251" s="64" t="s">
        <v>673</v>
      </c>
      <c r="C251" s="65" t="s">
        <v>56</v>
      </c>
      <c r="D251" s="65" t="s">
        <v>138</v>
      </c>
      <c r="E251" s="66"/>
      <c r="F251" s="347">
        <f>F252+F255</f>
        <v>192923990.024028</v>
      </c>
      <c r="G251" s="347"/>
      <c r="H251" s="347">
        <f>H252+H255</f>
        <v>192923990.024028</v>
      </c>
      <c r="I251" s="347"/>
      <c r="J251" s="347">
        <f>J252+J255</f>
        <v>192923990.024028</v>
      </c>
      <c r="K251" s="347">
        <f t="shared" ref="K251:AI251" si="361">K252+K255</f>
        <v>192923990.024028</v>
      </c>
      <c r="L251" s="347">
        <f t="shared" si="361"/>
        <v>204502907.59</v>
      </c>
      <c r="M251" s="347">
        <f t="shared" si="361"/>
        <v>2.3363075194026268</v>
      </c>
      <c r="N251" s="347">
        <f t="shared" si="361"/>
        <v>26036302.670000002</v>
      </c>
      <c r="O251" s="347">
        <f t="shared" si="361"/>
        <v>0.14640772719045778</v>
      </c>
      <c r="P251" s="347">
        <f t="shared" si="361"/>
        <v>172657389.09999999</v>
      </c>
      <c r="Q251" s="347">
        <f t="shared" si="361"/>
        <v>2.042319747908671</v>
      </c>
      <c r="R251" s="347">
        <f t="shared" si="361"/>
        <v>171720463.09999999</v>
      </c>
      <c r="S251" s="347">
        <f t="shared" si="361"/>
        <v>1.9261009006222403</v>
      </c>
      <c r="T251" s="347">
        <f t="shared" si="361"/>
        <v>41769597.300000004</v>
      </c>
      <c r="U251" s="347">
        <f t="shared" si="361"/>
        <v>0</v>
      </c>
      <c r="V251" s="347">
        <f t="shared" si="361"/>
        <v>84329586.600000009</v>
      </c>
      <c r="W251" s="347">
        <f t="shared" si="361"/>
        <v>38209985.539999999</v>
      </c>
      <c r="X251" s="347">
        <f t="shared" si="361"/>
        <v>3297070.11</v>
      </c>
      <c r="Y251" s="347">
        <f t="shared" si="361"/>
        <v>122802113.79000002</v>
      </c>
      <c r="Z251" s="347">
        <f t="shared" si="361"/>
        <v>79979582.840000004</v>
      </c>
      <c r="AA251" s="347">
        <f t="shared" si="361"/>
        <v>4791603</v>
      </c>
      <c r="AB251" s="347">
        <f t="shared" si="361"/>
        <v>2.6944213766469438E-2</v>
      </c>
      <c r="AC251" s="347">
        <f t="shared" si="361"/>
        <v>126099183.90000002</v>
      </c>
      <c r="AD251" s="347">
        <f t="shared" si="361"/>
        <v>0.84256168869372061</v>
      </c>
      <c r="AE251" s="347">
        <f t="shared" si="361"/>
        <v>1.3733913686308758E-2</v>
      </c>
      <c r="AF251" s="347">
        <f t="shared" si="361"/>
        <v>21203526.924027998</v>
      </c>
      <c r="AG251" s="347">
        <f t="shared" si="361"/>
        <v>1.0738990993777595</v>
      </c>
      <c r="AH251" s="347" t="e">
        <f t="shared" si="361"/>
        <v>#VALUE!</v>
      </c>
      <c r="AI251" s="347">
        <f t="shared" si="361"/>
        <v>226969401.309852</v>
      </c>
      <c r="AJ251" s="237" t="s">
        <v>408</v>
      </c>
      <c r="AK251" s="347">
        <f>AK252+AK255</f>
        <v>28976000</v>
      </c>
      <c r="AL251" s="347">
        <f t="shared" ref="AL251" si="362">AL252+AL255</f>
        <v>28976000</v>
      </c>
      <c r="AM251" s="306">
        <f t="shared" si="320"/>
        <v>0.15019386648799427</v>
      </c>
      <c r="AN251" s="174"/>
      <c r="AO251" s="347">
        <f t="shared" si="327"/>
        <v>28976000</v>
      </c>
      <c r="AP251" s="347">
        <f>AP252+AP255</f>
        <v>62307756</v>
      </c>
      <c r="AQ251" s="347">
        <f>AQ252+AQ255</f>
        <v>28976000</v>
      </c>
      <c r="AR251" s="306">
        <f t="shared" si="311"/>
        <v>0.15019386648799427</v>
      </c>
      <c r="AS251" s="92"/>
      <c r="AT251" s="92"/>
      <c r="AU251" s="380">
        <f t="shared" ref="AU251" si="363">AU252+AU255</f>
        <v>5113411.7647058833</v>
      </c>
      <c r="AV251" s="255"/>
      <c r="AW251" s="289"/>
      <c r="AX251" s="245"/>
      <c r="AY251" s="245"/>
    </row>
    <row r="252" spans="1:51" s="80" customFormat="1" ht="58.5" customHeight="1">
      <c r="A252" s="373" t="s">
        <v>136</v>
      </c>
      <c r="B252" s="64" t="s">
        <v>674</v>
      </c>
      <c r="C252" s="65" t="s">
        <v>56</v>
      </c>
      <c r="D252" s="65" t="s">
        <v>138</v>
      </c>
      <c r="E252" s="66"/>
      <c r="F252" s="347">
        <f>F253+F254</f>
        <v>184862251.14194399</v>
      </c>
      <c r="G252" s="347"/>
      <c r="H252" s="347">
        <f>H253+H254</f>
        <v>184862251.14194399</v>
      </c>
      <c r="I252" s="347"/>
      <c r="J252" s="347">
        <f>J253+J254</f>
        <v>184862251.14194399</v>
      </c>
      <c r="K252" s="347">
        <f t="shared" ref="K252:AI252" si="364">K253+K254</f>
        <v>184862251.14194399</v>
      </c>
      <c r="L252" s="347">
        <f t="shared" si="364"/>
        <v>202595587.59</v>
      </c>
      <c r="M252" s="347">
        <f t="shared" si="364"/>
        <v>2.0997183631551164</v>
      </c>
      <c r="N252" s="347">
        <f t="shared" si="364"/>
        <v>26036302.670000002</v>
      </c>
      <c r="O252" s="347">
        <f t="shared" si="364"/>
        <v>0.14640772719045778</v>
      </c>
      <c r="P252" s="347">
        <f t="shared" si="364"/>
        <v>171720463.09999999</v>
      </c>
      <c r="Q252" s="347">
        <f t="shared" si="364"/>
        <v>1.9261009006222403</v>
      </c>
      <c r="R252" s="347">
        <f t="shared" si="364"/>
        <v>171720463.09999999</v>
      </c>
      <c r="S252" s="347">
        <f t="shared" si="364"/>
        <v>1.9261009006222403</v>
      </c>
      <c r="T252" s="347">
        <f t="shared" si="364"/>
        <v>41769597.300000004</v>
      </c>
      <c r="U252" s="347">
        <f t="shared" si="364"/>
        <v>0</v>
      </c>
      <c r="V252" s="347">
        <f t="shared" si="364"/>
        <v>84329586.600000009</v>
      </c>
      <c r="W252" s="347">
        <f t="shared" si="364"/>
        <v>38209985.539999999</v>
      </c>
      <c r="X252" s="347">
        <f t="shared" si="364"/>
        <v>3297070.11</v>
      </c>
      <c r="Y252" s="347">
        <f t="shared" si="364"/>
        <v>122802113.79000002</v>
      </c>
      <c r="Z252" s="347">
        <f t="shared" si="364"/>
        <v>79979582.840000004</v>
      </c>
      <c r="AA252" s="347">
        <f t="shared" si="364"/>
        <v>4791603</v>
      </c>
      <c r="AB252" s="347">
        <f t="shared" si="364"/>
        <v>2.6944213766469438E-2</v>
      </c>
      <c r="AC252" s="347">
        <f t="shared" si="364"/>
        <v>126099183.90000002</v>
      </c>
      <c r="AD252" s="347">
        <f t="shared" si="364"/>
        <v>0.84256168869372061</v>
      </c>
      <c r="AE252" s="347">
        <f t="shared" si="364"/>
        <v>1.3733913686308758E-2</v>
      </c>
      <c r="AF252" s="347">
        <f t="shared" si="364"/>
        <v>13141788.041943997</v>
      </c>
      <c r="AG252" s="347">
        <f t="shared" si="364"/>
        <v>7.3899099377759569E-2</v>
      </c>
      <c r="AH252" s="347" t="e">
        <f t="shared" si="364"/>
        <v>#VALUE!</v>
      </c>
      <c r="AI252" s="347">
        <f t="shared" si="364"/>
        <v>217485001.59151199</v>
      </c>
      <c r="AJ252" s="237" t="s">
        <v>408</v>
      </c>
      <c r="AK252" s="347">
        <f>AK253+AK254</f>
        <v>11100000</v>
      </c>
      <c r="AL252" s="347">
        <f t="shared" ref="AL252" si="365">AL253+AL254</f>
        <v>11100000</v>
      </c>
      <c r="AM252" s="306">
        <f t="shared" si="320"/>
        <v>6.0044708594817524E-2</v>
      </c>
      <c r="AN252" s="348"/>
      <c r="AO252" s="347">
        <f t="shared" si="327"/>
        <v>11100000</v>
      </c>
      <c r="AP252" s="347">
        <f>AP253+AP254</f>
        <v>44431756</v>
      </c>
      <c r="AQ252" s="347">
        <f>AQ253+AQ254</f>
        <v>11100000</v>
      </c>
      <c r="AR252" s="306">
        <f t="shared" si="311"/>
        <v>6.0044708594817524E-2</v>
      </c>
      <c r="AS252" s="92"/>
      <c r="AT252" s="92"/>
      <c r="AU252" s="380">
        <f t="shared" ref="AU252" si="366">AU253+AU254</f>
        <v>1958823.5294117648</v>
      </c>
      <c r="AV252" s="253"/>
      <c r="AW252" s="289"/>
      <c r="AX252" s="245"/>
      <c r="AY252" s="245"/>
    </row>
    <row r="253" spans="1:51" s="80" customFormat="1" ht="243" customHeight="1">
      <c r="A253" s="377" t="s">
        <v>311</v>
      </c>
      <c r="B253" s="345" t="s">
        <v>675</v>
      </c>
      <c r="C253" s="178" t="s">
        <v>56</v>
      </c>
      <c r="D253" s="178" t="s">
        <v>687</v>
      </c>
      <c r="E253" s="202">
        <v>253035286</v>
      </c>
      <c r="F253" s="182">
        <f>E253*$E$6</f>
        <v>177834211.14194399</v>
      </c>
      <c r="G253" s="202">
        <v>253035286</v>
      </c>
      <c r="H253" s="182">
        <f>G253*$G$6</f>
        <v>177834211.14194399</v>
      </c>
      <c r="I253" s="202">
        <v>253035286</v>
      </c>
      <c r="J253" s="349">
        <f>I253*$I$6</f>
        <v>177834211.14194399</v>
      </c>
      <c r="K253" s="349">
        <v>177834211.14194399</v>
      </c>
      <c r="L253" s="349">
        <v>195567547.59</v>
      </c>
      <c r="M253" s="179">
        <f t="shared" si="347"/>
        <v>1.0997183631551164</v>
      </c>
      <c r="N253" s="349">
        <v>26036302.670000002</v>
      </c>
      <c r="O253" s="180">
        <f t="shared" si="304"/>
        <v>0.14640772719045778</v>
      </c>
      <c r="P253" s="349">
        <v>164692423.09999999</v>
      </c>
      <c r="Q253" s="181">
        <f>P253/J253</f>
        <v>0.92610090062224037</v>
      </c>
      <c r="R253" s="349">
        <v>164692423.09999999</v>
      </c>
      <c r="S253" s="181">
        <f>R253/J253</f>
        <v>0.92610090062224037</v>
      </c>
      <c r="T253" s="182">
        <v>41769597.300000004</v>
      </c>
      <c r="U253" s="182"/>
      <c r="V253" s="182">
        <v>83352892.650000006</v>
      </c>
      <c r="W253" s="182">
        <v>38195601.93</v>
      </c>
      <c r="X253" s="182">
        <v>3297070.11</v>
      </c>
      <c r="Y253" s="182">
        <f t="shared" si="359"/>
        <v>121825419.84000002</v>
      </c>
      <c r="Z253" s="349">
        <f t="shared" si="316"/>
        <v>79965199.230000004</v>
      </c>
      <c r="AA253" s="349">
        <v>4791603</v>
      </c>
      <c r="AB253" s="196">
        <f>AA253/J253</f>
        <v>2.6944213766469438E-2</v>
      </c>
      <c r="AC253" s="199">
        <f t="shared" ref="AC253:AC254" si="367">SUM(T253:V253)</f>
        <v>125122489.95000002</v>
      </c>
      <c r="AD253" s="181">
        <f>AC253/J253</f>
        <v>0.70359065978665691</v>
      </c>
      <c r="AE253" s="179">
        <v>1.3733913686308758E-2</v>
      </c>
      <c r="AF253" s="185">
        <f t="shared" si="360"/>
        <v>13141788.041943997</v>
      </c>
      <c r="AG253" s="186">
        <f t="shared" si="348"/>
        <v>7.3899099377759569E-2</v>
      </c>
      <c r="AH253" s="795" t="s">
        <v>381</v>
      </c>
      <c r="AI253" s="349">
        <v>209216719.85869199</v>
      </c>
      <c r="AJ253" s="239" t="s">
        <v>408</v>
      </c>
      <c r="AK253" s="349">
        <v>11100000</v>
      </c>
      <c r="AL253" s="349">
        <v>11100000</v>
      </c>
      <c r="AM253" s="207">
        <f t="shared" si="320"/>
        <v>6.241768627488771E-2</v>
      </c>
      <c r="AN253" s="186" t="s">
        <v>408</v>
      </c>
      <c r="AO253" s="349">
        <f t="shared" si="327"/>
        <v>11100000</v>
      </c>
      <c r="AP253" s="349">
        <v>44431756</v>
      </c>
      <c r="AQ253" s="349">
        <v>11100000</v>
      </c>
      <c r="AR253" s="207">
        <f t="shared" si="311"/>
        <v>6.241768627488771E-2</v>
      </c>
      <c r="AS253" s="319" t="s">
        <v>432</v>
      </c>
      <c r="AT253" s="269" t="s">
        <v>723</v>
      </c>
      <c r="AU253" s="378">
        <f>AO253/0.85-AO253</f>
        <v>1958823.5294117648</v>
      </c>
      <c r="AV253" s="256"/>
      <c r="AW253" s="289"/>
    </row>
    <row r="254" spans="1:51" s="94" customFormat="1" ht="49.5" customHeight="1">
      <c r="A254" s="375" t="s">
        <v>137</v>
      </c>
      <c r="B254" s="69" t="s">
        <v>676</v>
      </c>
      <c r="C254" s="70" t="s">
        <v>56</v>
      </c>
      <c r="D254" s="70" t="s">
        <v>687</v>
      </c>
      <c r="E254" s="107">
        <v>10000000</v>
      </c>
      <c r="F254" s="76">
        <f>E254*$E$6</f>
        <v>7028040</v>
      </c>
      <c r="G254" s="107">
        <v>10000000</v>
      </c>
      <c r="H254" s="76">
        <f>G254*$G$6</f>
        <v>7028040</v>
      </c>
      <c r="I254" s="107">
        <v>10000000</v>
      </c>
      <c r="J254" s="348">
        <f>I254*$I$6</f>
        <v>7028040</v>
      </c>
      <c r="K254" s="348">
        <v>7028040</v>
      </c>
      <c r="L254" s="348">
        <v>7028040</v>
      </c>
      <c r="M254" s="125">
        <f t="shared" si="347"/>
        <v>1</v>
      </c>
      <c r="N254" s="348"/>
      <c r="O254" s="127">
        <f t="shared" si="304"/>
        <v>0</v>
      </c>
      <c r="P254" s="348">
        <v>7028040</v>
      </c>
      <c r="Q254" s="73">
        <f>P254/J254</f>
        <v>1</v>
      </c>
      <c r="R254" s="348">
        <v>7028040</v>
      </c>
      <c r="S254" s="73">
        <f>R254/J254</f>
        <v>1</v>
      </c>
      <c r="T254" s="76">
        <v>0</v>
      </c>
      <c r="U254" s="76"/>
      <c r="V254" s="76">
        <v>976693.95</v>
      </c>
      <c r="W254" s="76">
        <v>14383.61</v>
      </c>
      <c r="X254" s="76">
        <v>0</v>
      </c>
      <c r="Y254" s="76">
        <f>AC254-X254</f>
        <v>976693.95</v>
      </c>
      <c r="Z254" s="348">
        <f t="shared" si="316"/>
        <v>14383.61</v>
      </c>
      <c r="AA254" s="348"/>
      <c r="AB254" s="125"/>
      <c r="AC254" s="113">
        <f t="shared" si="367"/>
        <v>976693.95</v>
      </c>
      <c r="AD254" s="73">
        <f>AC254/J254</f>
        <v>0.1389710289070637</v>
      </c>
      <c r="AE254" s="125">
        <v>0</v>
      </c>
      <c r="AF254" s="166">
        <f t="shared" si="360"/>
        <v>0</v>
      </c>
      <c r="AG254" s="167">
        <f t="shared" si="348"/>
        <v>0</v>
      </c>
      <c r="AH254" s="795"/>
      <c r="AI254" s="348">
        <v>8268281.7328200005</v>
      </c>
      <c r="AJ254" s="238" t="s">
        <v>409</v>
      </c>
      <c r="AK254" s="348">
        <v>0</v>
      </c>
      <c r="AL254" s="348">
        <v>0</v>
      </c>
      <c r="AM254" s="92">
        <f t="shared" si="320"/>
        <v>0</v>
      </c>
      <c r="AN254" s="348"/>
      <c r="AO254" s="348">
        <f t="shared" si="327"/>
        <v>0</v>
      </c>
      <c r="AP254" s="92"/>
      <c r="AQ254" s="92"/>
      <c r="AR254" s="92">
        <f t="shared" si="311"/>
        <v>0</v>
      </c>
      <c r="AS254" s="92"/>
      <c r="AT254" s="92"/>
      <c r="AU254" s="382"/>
      <c r="AV254" s="255"/>
      <c r="AW254" s="289"/>
    </row>
    <row r="255" spans="1:51" s="80" customFormat="1" ht="69" customHeight="1">
      <c r="A255" s="373" t="s">
        <v>139</v>
      </c>
      <c r="B255" s="64" t="s">
        <v>677</v>
      </c>
      <c r="C255" s="65" t="s">
        <v>56</v>
      </c>
      <c r="D255" s="65" t="s">
        <v>141</v>
      </c>
      <c r="E255" s="66"/>
      <c r="F255" s="347">
        <f>F256</f>
        <v>8061738.8820839999</v>
      </c>
      <c r="G255" s="347"/>
      <c r="H255" s="347">
        <f>H256</f>
        <v>8061738.8820839999</v>
      </c>
      <c r="I255" s="347"/>
      <c r="J255" s="347">
        <f>J256</f>
        <v>8061738.8820839999</v>
      </c>
      <c r="K255" s="347">
        <f>K256</f>
        <v>8061738.8820839999</v>
      </c>
      <c r="L255" s="347">
        <f t="shared" ref="L255:N255" si="368">L256</f>
        <v>1907320</v>
      </c>
      <c r="M255" s="124">
        <f t="shared" si="347"/>
        <v>0.23658915624751023</v>
      </c>
      <c r="N255" s="347">
        <f t="shared" si="368"/>
        <v>0</v>
      </c>
      <c r="O255" s="121">
        <f t="shared" si="304"/>
        <v>0</v>
      </c>
      <c r="P255" s="66">
        <f t="shared" ref="P255:AE255" si="369">P256</f>
        <v>936926</v>
      </c>
      <c r="Q255" s="67">
        <f t="shared" si="369"/>
        <v>0.11621884728643059</v>
      </c>
      <c r="R255" s="66">
        <f t="shared" si="369"/>
        <v>0</v>
      </c>
      <c r="S255" s="67">
        <f t="shared" si="369"/>
        <v>0</v>
      </c>
      <c r="T255" s="66">
        <f t="shared" si="369"/>
        <v>0</v>
      </c>
      <c r="U255" s="66">
        <f t="shared" si="369"/>
        <v>0</v>
      </c>
      <c r="V255" s="66">
        <f t="shared" si="369"/>
        <v>0</v>
      </c>
      <c r="W255" s="66">
        <f t="shared" si="369"/>
        <v>0</v>
      </c>
      <c r="X255" s="66">
        <f t="shared" si="369"/>
        <v>0</v>
      </c>
      <c r="Y255" s="66">
        <f t="shared" si="359"/>
        <v>0</v>
      </c>
      <c r="Z255" s="348">
        <f t="shared" si="316"/>
        <v>0</v>
      </c>
      <c r="AA255" s="66">
        <f t="shared" si="369"/>
        <v>0</v>
      </c>
      <c r="AB255" s="128">
        <f>AA255/J255</f>
        <v>0</v>
      </c>
      <c r="AC255" s="66">
        <f t="shared" si="369"/>
        <v>0</v>
      </c>
      <c r="AD255" s="67">
        <f t="shared" si="369"/>
        <v>0</v>
      </c>
      <c r="AE255" s="133">
        <f t="shared" si="369"/>
        <v>0</v>
      </c>
      <c r="AF255" s="56">
        <f t="shared" si="360"/>
        <v>8061738.8820839999</v>
      </c>
      <c r="AG255" s="57">
        <f t="shared" si="348"/>
        <v>1</v>
      </c>
      <c r="AH255" s="795"/>
      <c r="AI255" s="347">
        <f>AI256</f>
        <v>9484399.7183400001</v>
      </c>
      <c r="AJ255" s="237" t="str">
        <f>AJ256</f>
        <v>Jā</v>
      </c>
      <c r="AK255" s="347">
        <f>AK256</f>
        <v>17876000</v>
      </c>
      <c r="AL255" s="347">
        <f>AL256</f>
        <v>17876000</v>
      </c>
      <c r="AM255" s="306">
        <f t="shared" si="320"/>
        <v>2.2173876208924002</v>
      </c>
      <c r="AN255" s="347"/>
      <c r="AO255" s="347">
        <f t="shared" si="327"/>
        <v>17876000</v>
      </c>
      <c r="AP255" s="347">
        <f>AP256</f>
        <v>17876000</v>
      </c>
      <c r="AQ255" s="347">
        <f>AQ256</f>
        <v>17876000</v>
      </c>
      <c r="AR255" s="306">
        <f t="shared" si="311"/>
        <v>2.2173876208924002</v>
      </c>
      <c r="AS255" s="322"/>
      <c r="AT255" s="322"/>
      <c r="AU255" s="397">
        <f>AU256</f>
        <v>3154588.2352941185</v>
      </c>
      <c r="AV255" s="256"/>
      <c r="AW255" s="289"/>
    </row>
    <row r="256" spans="1:51" s="94" customFormat="1" ht="152.25" customHeight="1">
      <c r="A256" s="377" t="s">
        <v>140</v>
      </c>
      <c r="B256" s="345" t="s">
        <v>678</v>
      </c>
      <c r="C256" s="178" t="s">
        <v>56</v>
      </c>
      <c r="D256" s="178" t="s">
        <v>687</v>
      </c>
      <c r="E256" s="182">
        <v>11470821</v>
      </c>
      <c r="F256" s="182">
        <f>E256*$E$6</f>
        <v>8061738.8820839999</v>
      </c>
      <c r="G256" s="182">
        <v>11470821</v>
      </c>
      <c r="H256" s="182">
        <f>G256*$G$6</f>
        <v>8061738.8820839999</v>
      </c>
      <c r="I256" s="202">
        <v>11470821</v>
      </c>
      <c r="J256" s="349">
        <f>I256*$I$6</f>
        <v>8061738.8820839999</v>
      </c>
      <c r="K256" s="349">
        <v>8061738.8820839999</v>
      </c>
      <c r="L256" s="348">
        <v>1907320</v>
      </c>
      <c r="M256" s="125">
        <f t="shared" si="347"/>
        <v>0.23658915624751023</v>
      </c>
      <c r="N256" s="348"/>
      <c r="O256" s="127">
        <f t="shared" si="304"/>
        <v>0</v>
      </c>
      <c r="P256" s="348">
        <v>936926</v>
      </c>
      <c r="Q256" s="73">
        <f t="shared" ref="Q256:Q262" si="370">P256/J256</f>
        <v>0.11621884728643059</v>
      </c>
      <c r="R256" s="348">
        <v>0</v>
      </c>
      <c r="S256" s="73">
        <f t="shared" ref="S256:S262" si="371">R256/J256</f>
        <v>0</v>
      </c>
      <c r="T256" s="76">
        <v>0</v>
      </c>
      <c r="U256" s="76">
        <v>0</v>
      </c>
      <c r="V256" s="76">
        <v>0</v>
      </c>
      <c r="W256" s="76">
        <v>0</v>
      </c>
      <c r="X256" s="76">
        <v>0</v>
      </c>
      <c r="Y256" s="76">
        <f t="shared" si="359"/>
        <v>0</v>
      </c>
      <c r="Z256" s="348">
        <f t="shared" si="316"/>
        <v>0</v>
      </c>
      <c r="AA256" s="348"/>
      <c r="AB256" s="125"/>
      <c r="AC256" s="113">
        <f t="shared" ref="AC256" si="372">SUM(T256:V256)</f>
        <v>0</v>
      </c>
      <c r="AD256" s="73">
        <f t="shared" ref="AD256:AD262" si="373">AC256/J256</f>
        <v>0</v>
      </c>
      <c r="AE256" s="125"/>
      <c r="AF256" s="166">
        <f t="shared" si="360"/>
        <v>8061738.8820839999</v>
      </c>
      <c r="AG256" s="167">
        <f t="shared" si="348"/>
        <v>1</v>
      </c>
      <c r="AH256" s="795"/>
      <c r="AI256" s="348">
        <v>9484399.7183400001</v>
      </c>
      <c r="AJ256" s="239" t="s">
        <v>408</v>
      </c>
      <c r="AK256" s="349">
        <v>17876000</v>
      </c>
      <c r="AL256" s="349">
        <v>17876000</v>
      </c>
      <c r="AM256" s="207">
        <f t="shared" si="320"/>
        <v>2.2173876208924002</v>
      </c>
      <c r="AN256" s="349"/>
      <c r="AO256" s="349">
        <f t="shared" ref="AO256:AO262" si="374">AL256</f>
        <v>17876000</v>
      </c>
      <c r="AP256" s="349">
        <v>17876000</v>
      </c>
      <c r="AQ256" s="349">
        <v>17876000</v>
      </c>
      <c r="AR256" s="207">
        <f t="shared" si="311"/>
        <v>2.2173876208924002</v>
      </c>
      <c r="AS256" s="319" t="s">
        <v>433</v>
      </c>
      <c r="AT256" s="269" t="s">
        <v>703</v>
      </c>
      <c r="AU256" s="378">
        <f>AL256/0.85-AL256</f>
        <v>3154588.2352941185</v>
      </c>
      <c r="AV256" s="255"/>
      <c r="AW256" s="289"/>
    </row>
    <row r="257" spans="1:51" s="94" customFormat="1" ht="64.5" customHeight="1">
      <c r="A257" s="373" t="s">
        <v>312</v>
      </c>
      <c r="B257" s="64" t="s">
        <v>679</v>
      </c>
      <c r="C257" s="65" t="s">
        <v>56</v>
      </c>
      <c r="D257" s="65"/>
      <c r="E257" s="66"/>
      <c r="F257" s="347">
        <f t="shared" ref="F257:U258" si="375">F258</f>
        <v>40488570.066179998</v>
      </c>
      <c r="G257" s="347"/>
      <c r="H257" s="347">
        <f t="shared" si="375"/>
        <v>40488570.066179998</v>
      </c>
      <c r="I257" s="347"/>
      <c r="J257" s="347">
        <f t="shared" si="375"/>
        <v>40488570.066179998</v>
      </c>
      <c r="K257" s="347">
        <f t="shared" si="375"/>
        <v>40488570.066179998</v>
      </c>
      <c r="L257" s="347">
        <f t="shared" si="375"/>
        <v>36111185.659999996</v>
      </c>
      <c r="M257" s="347">
        <f t="shared" si="375"/>
        <v>0.89188592239674036</v>
      </c>
      <c r="N257" s="347">
        <f t="shared" si="375"/>
        <v>0</v>
      </c>
      <c r="O257" s="347">
        <f t="shared" si="375"/>
        <v>0</v>
      </c>
      <c r="P257" s="347">
        <f t="shared" si="375"/>
        <v>36217551.560000002</v>
      </c>
      <c r="Q257" s="347">
        <f t="shared" si="375"/>
        <v>0.89451298232565724</v>
      </c>
      <c r="R257" s="347">
        <f t="shared" si="375"/>
        <v>36217551.560000002</v>
      </c>
      <c r="S257" s="347">
        <f t="shared" si="375"/>
        <v>0.89451298232565724</v>
      </c>
      <c r="T257" s="347">
        <f t="shared" si="375"/>
        <v>13545222.73</v>
      </c>
      <c r="U257" s="347">
        <f t="shared" si="375"/>
        <v>0</v>
      </c>
      <c r="V257" s="347">
        <f t="shared" ref="V257:AI258" si="376">V258</f>
        <v>0</v>
      </c>
      <c r="W257" s="347">
        <f t="shared" si="376"/>
        <v>0</v>
      </c>
      <c r="X257" s="347">
        <f t="shared" si="376"/>
        <v>0</v>
      </c>
      <c r="Y257" s="347">
        <f t="shared" si="376"/>
        <v>13545222.73</v>
      </c>
      <c r="Z257" s="347">
        <f t="shared" si="376"/>
        <v>13545222.73</v>
      </c>
      <c r="AA257" s="347">
        <f t="shared" si="376"/>
        <v>0</v>
      </c>
      <c r="AB257" s="347">
        <f t="shared" si="376"/>
        <v>0</v>
      </c>
      <c r="AC257" s="347">
        <f t="shared" si="376"/>
        <v>13545222.73</v>
      </c>
      <c r="AD257" s="347">
        <f t="shared" si="376"/>
        <v>0.33454435925644832</v>
      </c>
      <c r="AE257" s="347">
        <f t="shared" si="376"/>
        <v>6.9184915777492821E-3</v>
      </c>
      <c r="AF257" s="347">
        <f t="shared" si="376"/>
        <v>4271018.5061799958</v>
      </c>
      <c r="AG257" s="347">
        <f t="shared" si="376"/>
        <v>0.10548701767434279</v>
      </c>
      <c r="AH257" s="347" t="str">
        <f t="shared" si="376"/>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57" s="347">
        <f t="shared" si="376"/>
        <v>40488570.066179998</v>
      </c>
      <c r="AJ257" s="234" t="s">
        <v>409</v>
      </c>
      <c r="AK257" s="347">
        <f>J257*AM257</f>
        <v>0</v>
      </c>
      <c r="AL257" s="347">
        <v>0</v>
      </c>
      <c r="AM257" s="306">
        <f t="shared" si="320"/>
        <v>0</v>
      </c>
      <c r="AN257" s="347"/>
      <c r="AO257" s="347">
        <f t="shared" si="374"/>
        <v>0</v>
      </c>
      <c r="AP257" s="93"/>
      <c r="AQ257" s="93"/>
      <c r="AR257" s="306">
        <f t="shared" si="311"/>
        <v>0</v>
      </c>
      <c r="AS257" s="93"/>
      <c r="AT257" s="93"/>
      <c r="AU257" s="380"/>
      <c r="AV257" s="255"/>
      <c r="AW257" s="289"/>
    </row>
    <row r="258" spans="1:51" s="80" customFormat="1" ht="57.75" customHeight="1">
      <c r="A258" s="373" t="s">
        <v>204</v>
      </c>
      <c r="B258" s="64" t="s">
        <v>680</v>
      </c>
      <c r="C258" s="65" t="s">
        <v>56</v>
      </c>
      <c r="D258" s="65" t="s">
        <v>138</v>
      </c>
      <c r="E258" s="66"/>
      <c r="F258" s="347">
        <f t="shared" si="375"/>
        <v>40488570.066179998</v>
      </c>
      <c r="G258" s="347"/>
      <c r="H258" s="347">
        <f t="shared" si="375"/>
        <v>40488570.066179998</v>
      </c>
      <c r="I258" s="347"/>
      <c r="J258" s="347">
        <f t="shared" si="375"/>
        <v>40488570.066179998</v>
      </c>
      <c r="K258" s="347">
        <f t="shared" si="375"/>
        <v>40488570.066179998</v>
      </c>
      <c r="L258" s="347">
        <f t="shared" si="375"/>
        <v>36111185.659999996</v>
      </c>
      <c r="M258" s="347">
        <f t="shared" si="375"/>
        <v>0.89188592239674036</v>
      </c>
      <c r="N258" s="347">
        <f t="shared" si="375"/>
        <v>0</v>
      </c>
      <c r="O258" s="347">
        <f t="shared" si="375"/>
        <v>0</v>
      </c>
      <c r="P258" s="347">
        <f t="shared" si="375"/>
        <v>36217551.560000002</v>
      </c>
      <c r="Q258" s="347">
        <f t="shared" si="375"/>
        <v>0.89451298232565724</v>
      </c>
      <c r="R258" s="347">
        <f t="shared" si="375"/>
        <v>36217551.560000002</v>
      </c>
      <c r="S258" s="347">
        <f t="shared" si="375"/>
        <v>0.89451298232565724</v>
      </c>
      <c r="T258" s="347">
        <f t="shared" si="375"/>
        <v>13545222.73</v>
      </c>
      <c r="U258" s="347">
        <f t="shared" si="375"/>
        <v>0</v>
      </c>
      <c r="V258" s="347">
        <f t="shared" si="376"/>
        <v>0</v>
      </c>
      <c r="W258" s="347">
        <f t="shared" si="376"/>
        <v>0</v>
      </c>
      <c r="X258" s="347">
        <f t="shared" si="376"/>
        <v>0</v>
      </c>
      <c r="Y258" s="347">
        <f t="shared" si="376"/>
        <v>13545222.73</v>
      </c>
      <c r="Z258" s="347">
        <f t="shared" si="376"/>
        <v>13545222.73</v>
      </c>
      <c r="AA258" s="347">
        <f t="shared" si="376"/>
        <v>0</v>
      </c>
      <c r="AB258" s="347">
        <f t="shared" si="376"/>
        <v>0</v>
      </c>
      <c r="AC258" s="347">
        <f t="shared" si="376"/>
        <v>13545222.73</v>
      </c>
      <c r="AD258" s="347">
        <f t="shared" si="376"/>
        <v>0.33454435925644832</v>
      </c>
      <c r="AE258" s="347">
        <f t="shared" si="376"/>
        <v>6.9184915777492821E-3</v>
      </c>
      <c r="AF258" s="347">
        <f t="shared" si="376"/>
        <v>4271018.5061799958</v>
      </c>
      <c r="AG258" s="347">
        <f t="shared" si="376"/>
        <v>0.10548701767434279</v>
      </c>
      <c r="AH258" s="347" t="str">
        <f t="shared" si="376"/>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58" s="347">
        <f t="shared" si="376"/>
        <v>40488570.066179998</v>
      </c>
      <c r="AJ258" s="234" t="s">
        <v>409</v>
      </c>
      <c r="AK258" s="347">
        <f>J258*AM258</f>
        <v>0</v>
      </c>
      <c r="AL258" s="347">
        <v>0</v>
      </c>
      <c r="AM258" s="306">
        <f t="shared" si="320"/>
        <v>0</v>
      </c>
      <c r="AN258" s="347"/>
      <c r="AO258" s="347">
        <f t="shared" si="374"/>
        <v>0</v>
      </c>
      <c r="AP258" s="93"/>
      <c r="AQ258" s="93"/>
      <c r="AR258" s="306">
        <f t="shared" si="311"/>
        <v>0</v>
      </c>
      <c r="AS258" s="93"/>
      <c r="AT258" s="93"/>
      <c r="AU258" s="380"/>
      <c r="AV258" s="256"/>
      <c r="AW258" s="289"/>
    </row>
    <row r="259" spans="1:51" s="94" customFormat="1" ht="57.75" customHeight="1">
      <c r="A259" s="375" t="s">
        <v>313</v>
      </c>
      <c r="B259" s="69" t="s">
        <v>531</v>
      </c>
      <c r="C259" s="70" t="s">
        <v>56</v>
      </c>
      <c r="D259" s="70" t="s">
        <v>157</v>
      </c>
      <c r="E259" s="107">
        <v>57610045</v>
      </c>
      <c r="F259" s="76">
        <f>E259*$E$6</f>
        <v>40488570.066179998</v>
      </c>
      <c r="G259" s="107">
        <v>57610045</v>
      </c>
      <c r="H259" s="76">
        <f>G259*$G$6</f>
        <v>40488570.066179998</v>
      </c>
      <c r="I259" s="107">
        <v>57610045</v>
      </c>
      <c r="J259" s="348">
        <f>I259*$I$6</f>
        <v>40488570.066179998</v>
      </c>
      <c r="K259" s="348">
        <v>40488570.066179998</v>
      </c>
      <c r="L259" s="348">
        <v>36111185.659999996</v>
      </c>
      <c r="M259" s="125">
        <f t="shared" ref="M259" si="377">L259/J259</f>
        <v>0.89188592239674036</v>
      </c>
      <c r="N259" s="348"/>
      <c r="O259" s="127">
        <f t="shared" si="304"/>
        <v>0</v>
      </c>
      <c r="P259" s="348">
        <v>36217551.560000002</v>
      </c>
      <c r="Q259" s="73">
        <f t="shared" si="370"/>
        <v>0.89451298232565724</v>
      </c>
      <c r="R259" s="76">
        <v>36217551.560000002</v>
      </c>
      <c r="S259" s="73">
        <f t="shared" si="371"/>
        <v>0.89451298232565724</v>
      </c>
      <c r="T259" s="114">
        <v>13545222.73</v>
      </c>
      <c r="U259" s="114"/>
      <c r="V259" s="76">
        <v>0</v>
      </c>
      <c r="W259" s="76">
        <v>0</v>
      </c>
      <c r="X259" s="76">
        <v>0</v>
      </c>
      <c r="Y259" s="76">
        <f t="shared" si="359"/>
        <v>13545222.73</v>
      </c>
      <c r="Z259" s="348">
        <f t="shared" si="316"/>
        <v>13545222.73</v>
      </c>
      <c r="AA259" s="348"/>
      <c r="AB259" s="125"/>
      <c r="AC259" s="113">
        <f t="shared" ref="AC259" si="378">SUM(T259:V259)</f>
        <v>13545222.73</v>
      </c>
      <c r="AD259" s="73">
        <f t="shared" si="373"/>
        <v>0.33454435925644832</v>
      </c>
      <c r="AE259" s="137">
        <v>6.9184915777492821E-3</v>
      </c>
      <c r="AF259" s="166">
        <f t="shared" si="360"/>
        <v>4271018.5061799958</v>
      </c>
      <c r="AG259" s="167">
        <f t="shared" si="348"/>
        <v>0.10548701767434279</v>
      </c>
      <c r="AH259" s="162" t="s">
        <v>404</v>
      </c>
      <c r="AI259" s="227">
        <v>40488570.066179998</v>
      </c>
      <c r="AJ259" s="238" t="s">
        <v>409</v>
      </c>
      <c r="AK259" s="348">
        <v>0</v>
      </c>
      <c r="AL259" s="348">
        <v>0</v>
      </c>
      <c r="AM259" s="92">
        <f t="shared" si="320"/>
        <v>0</v>
      </c>
      <c r="AN259" s="348"/>
      <c r="AO259" s="348">
        <f t="shared" si="374"/>
        <v>0</v>
      </c>
      <c r="AP259" s="92"/>
      <c r="AQ259" s="92"/>
      <c r="AR259" s="92">
        <f t="shared" si="311"/>
        <v>0</v>
      </c>
      <c r="AS259" s="92"/>
      <c r="AT259" s="92"/>
      <c r="AU259" s="382">
        <f>AM259</f>
        <v>0</v>
      </c>
      <c r="AV259" s="255"/>
      <c r="AW259" s="289"/>
    </row>
    <row r="260" spans="1:51" s="94" customFormat="1" ht="47.25" customHeight="1">
      <c r="A260" s="373" t="s">
        <v>314</v>
      </c>
      <c r="B260" s="64" t="s">
        <v>681</v>
      </c>
      <c r="C260" s="65" t="s">
        <v>171</v>
      </c>
      <c r="D260" s="65"/>
      <c r="E260" s="66"/>
      <c r="F260" s="347">
        <f t="shared" ref="F260:U261" si="379">F261</f>
        <v>8574208.7999999989</v>
      </c>
      <c r="G260" s="347"/>
      <c r="H260" s="347">
        <f t="shared" si="379"/>
        <v>8574208.7999999989</v>
      </c>
      <c r="I260" s="347"/>
      <c r="J260" s="347">
        <f t="shared" si="379"/>
        <v>8574208.7999999989</v>
      </c>
      <c r="K260" s="347">
        <f t="shared" si="379"/>
        <v>8574208.7999999989</v>
      </c>
      <c r="L260" s="347">
        <f t="shared" si="379"/>
        <v>6435489.7199999997</v>
      </c>
      <c r="M260" s="347">
        <f t="shared" si="379"/>
        <v>0.75056368116437755</v>
      </c>
      <c r="N260" s="347">
        <f t="shared" si="379"/>
        <v>0</v>
      </c>
      <c r="O260" s="347">
        <f t="shared" si="379"/>
        <v>0</v>
      </c>
      <c r="P260" s="347">
        <f t="shared" si="379"/>
        <v>6463376.5300000003</v>
      </c>
      <c r="Q260" s="347">
        <f t="shared" si="379"/>
        <v>0.75381608738056405</v>
      </c>
      <c r="R260" s="347">
        <f t="shared" si="379"/>
        <v>6463376.5300000003</v>
      </c>
      <c r="S260" s="347">
        <f t="shared" si="379"/>
        <v>0.75381608738056405</v>
      </c>
      <c r="T260" s="347">
        <f t="shared" si="379"/>
        <v>2024522.08</v>
      </c>
      <c r="U260" s="347">
        <f t="shared" si="379"/>
        <v>0</v>
      </c>
      <c r="V260" s="347">
        <f t="shared" ref="V260:AI260" si="380">V261</f>
        <v>0</v>
      </c>
      <c r="W260" s="347">
        <f t="shared" si="380"/>
        <v>0</v>
      </c>
      <c r="X260" s="347">
        <f t="shared" si="380"/>
        <v>0</v>
      </c>
      <c r="Y260" s="347">
        <f t="shared" si="380"/>
        <v>2024522.08</v>
      </c>
      <c r="Z260" s="347">
        <f t="shared" si="380"/>
        <v>2024522.08</v>
      </c>
      <c r="AA260" s="347">
        <f t="shared" si="380"/>
        <v>2.6944213766469438E-2</v>
      </c>
      <c r="AB260" s="347">
        <f t="shared" si="380"/>
        <v>0</v>
      </c>
      <c r="AC260" s="347">
        <f t="shared" si="380"/>
        <v>2024522.08</v>
      </c>
      <c r="AD260" s="347">
        <f t="shared" si="380"/>
        <v>0.23611765554391448</v>
      </c>
      <c r="AE260" s="347">
        <f t="shared" si="380"/>
        <v>3.2697314024489896E-3</v>
      </c>
      <c r="AF260" s="347">
        <f t="shared" si="380"/>
        <v>2110832.2699999986</v>
      </c>
      <c r="AG260" s="347">
        <f t="shared" si="380"/>
        <v>0.24618391261943595</v>
      </c>
      <c r="AH260" s="347" t="str">
        <f t="shared" si="380"/>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60" s="347">
        <f t="shared" si="380"/>
        <v>8574208.7999999989</v>
      </c>
      <c r="AJ260" s="234" t="s">
        <v>409</v>
      </c>
      <c r="AK260" s="347">
        <f>J260*AM260</f>
        <v>0</v>
      </c>
      <c r="AL260" s="347">
        <v>0</v>
      </c>
      <c r="AM260" s="92">
        <f t="shared" si="320"/>
        <v>0</v>
      </c>
      <c r="AN260" s="347"/>
      <c r="AO260" s="347">
        <f t="shared" si="374"/>
        <v>0</v>
      </c>
      <c r="AP260" s="93"/>
      <c r="AQ260" s="93"/>
      <c r="AR260" s="92">
        <f t="shared" si="311"/>
        <v>0</v>
      </c>
      <c r="AS260" s="93"/>
      <c r="AT260" s="93"/>
      <c r="AU260" s="380">
        <f>AM260</f>
        <v>0</v>
      </c>
      <c r="AV260" s="255"/>
      <c r="AW260" s="289"/>
    </row>
    <row r="261" spans="1:51" s="80" customFormat="1" ht="41.25" customHeight="1">
      <c r="A261" s="373" t="s">
        <v>203</v>
      </c>
      <c r="B261" s="64" t="s">
        <v>682</v>
      </c>
      <c r="C261" s="65" t="s">
        <v>171</v>
      </c>
      <c r="D261" s="65" t="s">
        <v>138</v>
      </c>
      <c r="E261" s="66"/>
      <c r="F261" s="347">
        <f t="shared" si="379"/>
        <v>8574208.7999999989</v>
      </c>
      <c r="G261" s="347"/>
      <c r="H261" s="347">
        <f t="shared" si="379"/>
        <v>8574208.7999999989</v>
      </c>
      <c r="I261" s="347"/>
      <c r="J261" s="347">
        <f t="shared" si="379"/>
        <v>8574208.7999999989</v>
      </c>
      <c r="K261" s="347">
        <f t="shared" si="379"/>
        <v>8574208.7999999989</v>
      </c>
      <c r="L261" s="347">
        <f t="shared" si="379"/>
        <v>6435489.7199999997</v>
      </c>
      <c r="M261" s="347">
        <f t="shared" si="379"/>
        <v>0.75056368116437755</v>
      </c>
      <c r="N261" s="347">
        <f t="shared" si="379"/>
        <v>0</v>
      </c>
      <c r="O261" s="347">
        <f t="shared" si="379"/>
        <v>0</v>
      </c>
      <c r="P261" s="347">
        <f t="shared" si="379"/>
        <v>6463376.5300000003</v>
      </c>
      <c r="Q261" s="347">
        <f t="shared" si="379"/>
        <v>0.75381608738056405</v>
      </c>
      <c r="R261" s="347">
        <f t="shared" si="379"/>
        <v>6463376.5300000003</v>
      </c>
      <c r="S261" s="347">
        <f t="shared" si="379"/>
        <v>0.75381608738056405</v>
      </c>
      <c r="T261" s="347">
        <f t="shared" si="379"/>
        <v>2024522.08</v>
      </c>
      <c r="U261" s="347">
        <f t="shared" si="379"/>
        <v>0</v>
      </c>
      <c r="V261" s="347">
        <f t="shared" ref="V261:AI261" si="381">V262</f>
        <v>0</v>
      </c>
      <c r="W261" s="347">
        <f t="shared" si="381"/>
        <v>0</v>
      </c>
      <c r="X261" s="347">
        <f t="shared" si="381"/>
        <v>0</v>
      </c>
      <c r="Y261" s="347">
        <f t="shared" si="381"/>
        <v>2024522.08</v>
      </c>
      <c r="Z261" s="347">
        <f t="shared" si="381"/>
        <v>2024522.08</v>
      </c>
      <c r="AA261" s="347">
        <f t="shared" si="381"/>
        <v>2.6944213766469438E-2</v>
      </c>
      <c r="AB261" s="347">
        <f t="shared" si="381"/>
        <v>0</v>
      </c>
      <c r="AC261" s="347">
        <f t="shared" si="381"/>
        <v>2024522.08</v>
      </c>
      <c r="AD261" s="347">
        <f t="shared" si="381"/>
        <v>0.23611765554391448</v>
      </c>
      <c r="AE261" s="347">
        <f t="shared" si="381"/>
        <v>3.2697314024489896E-3</v>
      </c>
      <c r="AF261" s="347">
        <f t="shared" si="381"/>
        <v>2110832.2699999986</v>
      </c>
      <c r="AG261" s="347">
        <f t="shared" si="381"/>
        <v>0.24618391261943595</v>
      </c>
      <c r="AH261" s="347" t="str">
        <f t="shared" si="381"/>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61" s="347">
        <f t="shared" si="381"/>
        <v>8574208.7999999989</v>
      </c>
      <c r="AJ261" s="234" t="s">
        <v>409</v>
      </c>
      <c r="AK261" s="347">
        <f>J261*AM261</f>
        <v>0</v>
      </c>
      <c r="AL261" s="347">
        <v>0</v>
      </c>
      <c r="AM261" s="92">
        <f t="shared" si="320"/>
        <v>0</v>
      </c>
      <c r="AN261" s="347"/>
      <c r="AO261" s="347">
        <f t="shared" si="374"/>
        <v>0</v>
      </c>
      <c r="AP261" s="93"/>
      <c r="AQ261" s="93"/>
      <c r="AR261" s="92">
        <f t="shared" si="311"/>
        <v>0</v>
      </c>
      <c r="AS261" s="93"/>
      <c r="AT261" s="93"/>
      <c r="AU261" s="380">
        <f>AM261</f>
        <v>0</v>
      </c>
      <c r="AV261" s="256"/>
      <c r="AW261" s="289"/>
    </row>
    <row r="262" spans="1:51" s="80" customFormat="1" ht="57" customHeight="1" thickBot="1">
      <c r="A262" s="399" t="s">
        <v>315</v>
      </c>
      <c r="B262" s="400" t="s">
        <v>531</v>
      </c>
      <c r="C262" s="401" t="s">
        <v>171</v>
      </c>
      <c r="D262" s="401" t="s">
        <v>157</v>
      </c>
      <c r="E262" s="402">
        <v>12200000</v>
      </c>
      <c r="F262" s="403">
        <f>E262*$E$6</f>
        <v>8574208.7999999989</v>
      </c>
      <c r="G262" s="402">
        <v>12200000</v>
      </c>
      <c r="H262" s="403">
        <f>G262*$G$6</f>
        <v>8574208.7999999989</v>
      </c>
      <c r="I262" s="402">
        <v>12200000</v>
      </c>
      <c r="J262" s="404">
        <f>I262*$I$6</f>
        <v>8574208.7999999989</v>
      </c>
      <c r="K262" s="404">
        <v>8574208.7999999989</v>
      </c>
      <c r="L262" s="404">
        <v>6435489.7199999997</v>
      </c>
      <c r="M262" s="405">
        <f t="shared" ref="M262" si="382">L262/J262</f>
        <v>0.75056368116437755</v>
      </c>
      <c r="N262" s="404"/>
      <c r="O262" s="406">
        <f t="shared" si="304"/>
        <v>0</v>
      </c>
      <c r="P262" s="404">
        <v>6463376.5300000003</v>
      </c>
      <c r="Q262" s="407">
        <f t="shared" si="370"/>
        <v>0.75381608738056405</v>
      </c>
      <c r="R262" s="403">
        <v>6463376.5300000003</v>
      </c>
      <c r="S262" s="407">
        <f t="shared" si="371"/>
        <v>0.75381608738056405</v>
      </c>
      <c r="T262" s="408">
        <v>2024522.08</v>
      </c>
      <c r="U262" s="408"/>
      <c r="V262" s="403">
        <v>0</v>
      </c>
      <c r="W262" s="403">
        <v>0</v>
      </c>
      <c r="X262" s="403">
        <v>0</v>
      </c>
      <c r="Y262" s="403">
        <f t="shared" si="359"/>
        <v>2024522.08</v>
      </c>
      <c r="Z262" s="404">
        <f>T262+U262+W262</f>
        <v>2024522.08</v>
      </c>
      <c r="AA262" s="404">
        <v>2.6944213766469438E-2</v>
      </c>
      <c r="AB262" s="405"/>
      <c r="AC262" s="409">
        <f>SUM(T262:V262)</f>
        <v>2024522.08</v>
      </c>
      <c r="AD262" s="407">
        <f t="shared" si="373"/>
        <v>0.23611765554391448</v>
      </c>
      <c r="AE262" s="410">
        <v>3.2697314024489896E-3</v>
      </c>
      <c r="AF262" s="411">
        <f t="shared" si="360"/>
        <v>2110832.2699999986</v>
      </c>
      <c r="AG262" s="412">
        <f t="shared" si="348"/>
        <v>0.24618391261943595</v>
      </c>
      <c r="AH262" s="413" t="s">
        <v>404</v>
      </c>
      <c r="AI262" s="414">
        <v>8574208.7999999989</v>
      </c>
      <c r="AJ262" s="415" t="s">
        <v>409</v>
      </c>
      <c r="AK262" s="404">
        <v>0</v>
      </c>
      <c r="AL262" s="404">
        <v>0</v>
      </c>
      <c r="AM262" s="416">
        <f t="shared" si="320"/>
        <v>0</v>
      </c>
      <c r="AN262" s="404"/>
      <c r="AO262" s="404">
        <f t="shared" si="374"/>
        <v>0</v>
      </c>
      <c r="AP262" s="416"/>
      <c r="AQ262" s="416"/>
      <c r="AR262" s="416">
        <f t="shared" si="311"/>
        <v>0</v>
      </c>
      <c r="AS262" s="416"/>
      <c r="AT262" s="416"/>
      <c r="AU262" s="417">
        <f>AM262</f>
        <v>0</v>
      </c>
      <c r="AV262" s="256"/>
    </row>
    <row r="263" spans="1:51">
      <c r="A263" s="274"/>
      <c r="B263" s="274"/>
      <c r="C263" s="275"/>
      <c r="D263" s="275"/>
      <c r="E263" s="276"/>
      <c r="F263" s="277"/>
      <c r="G263" s="276"/>
      <c r="H263" s="277"/>
      <c r="I263" s="276"/>
      <c r="J263" s="256"/>
      <c r="K263" s="256"/>
      <c r="L263" s="256"/>
      <c r="M263" s="278"/>
      <c r="N263" s="256"/>
      <c r="O263" s="279"/>
      <c r="P263" s="256"/>
      <c r="Q263" s="280"/>
      <c r="R263" s="277"/>
      <c r="S263" s="280"/>
      <c r="T263" s="281"/>
      <c r="U263" s="281"/>
      <c r="V263" s="277"/>
      <c r="W263" s="277"/>
      <c r="X263" s="277"/>
      <c r="Y263" s="277"/>
      <c r="Z263" s="256"/>
      <c r="AA263" s="256"/>
      <c r="AB263" s="278"/>
      <c r="AC263" s="282"/>
      <c r="AD263" s="280"/>
      <c r="AE263" s="283"/>
      <c r="AF263" s="284"/>
      <c r="AG263" s="285"/>
      <c r="AH263" s="286"/>
      <c r="AI263" s="287"/>
      <c r="AJ263" s="288"/>
      <c r="AK263" s="256"/>
      <c r="AL263" s="256"/>
      <c r="AM263" s="289"/>
      <c r="AN263" s="256"/>
      <c r="AO263" s="256"/>
      <c r="AP263" s="289"/>
      <c r="AQ263" s="289"/>
      <c r="AR263" s="289"/>
      <c r="AS263" s="289"/>
      <c r="AT263" s="289"/>
      <c r="AU263" s="256"/>
      <c r="AX263" s="245"/>
      <c r="AY263" s="245"/>
    </row>
    <row r="264" spans="1:51">
      <c r="AX264" s="245"/>
      <c r="AY264" s="245"/>
    </row>
    <row r="265" spans="1:51">
      <c r="AU265" s="46"/>
      <c r="AX265" s="245"/>
      <c r="AY265" s="245"/>
    </row>
    <row r="266" spans="1:51">
      <c r="AJ266" s="231" t="s">
        <v>155</v>
      </c>
      <c r="AK266" s="350">
        <f t="shared" ref="AK266" si="383">AK58+AK60+AK62+AK63+AK72+AK115+AK128+AK138+AK222+AK232+AK245</f>
        <v>44056323.799999997</v>
      </c>
      <c r="AL266" s="350">
        <f t="shared" ref="AL266" si="384">AL58+AL60+AL62+AL63+AL72+AL115+AL128+AL138+AL222+AL232+AL245</f>
        <v>44056323.799999997</v>
      </c>
      <c r="AM266" s="350"/>
      <c r="AN266" s="350">
        <f t="shared" ref="AN266:AQ266" si="385">AN58+AN60+AN62+AN63+AN72+AN115+AN128+AN138+AN222+AN232+AN245</f>
        <v>0</v>
      </c>
      <c r="AO266" s="350">
        <f t="shared" si="385"/>
        <v>38056323.799999997</v>
      </c>
      <c r="AP266" s="350">
        <f t="shared" si="385"/>
        <v>51586882</v>
      </c>
      <c r="AQ266" s="350">
        <f t="shared" si="385"/>
        <v>44056324</v>
      </c>
      <c r="AR266" s="418"/>
      <c r="AX266" s="245"/>
      <c r="AY266" s="245"/>
    </row>
    <row r="267" spans="1:51">
      <c r="AJ267" s="231" t="s">
        <v>5</v>
      </c>
      <c r="AK267" s="350">
        <f t="shared" ref="AK267" si="386">AK19+AK20+AK21+AK22+AK30+AK42+AK44+AK45+AK46+AK49+AK52+AK109+AK156+AK159+AK162</f>
        <v>55829032.996689186</v>
      </c>
      <c r="AL267" s="350">
        <f t="shared" ref="AL267" si="387">AL19+AL20+AL21+AL22+AL30+AL42+AL44+AL45+AL46+AL49+AL52+AL109+AL156+AL159+AL162</f>
        <v>61958711.557135999</v>
      </c>
      <c r="AM267" s="350"/>
      <c r="AN267" s="350" t="e">
        <f t="shared" ref="AN267:AQ267" si="388">AN19+AN20+AN21+AN22+AN30+AN42+AN44+AN45+AN46+AN49+AN52+AN109+AN156+AN159+AN162</f>
        <v>#VALUE!</v>
      </c>
      <c r="AO267" s="350">
        <f t="shared" si="388"/>
        <v>64548172.557135999</v>
      </c>
      <c r="AP267" s="350">
        <f t="shared" si="388"/>
        <v>61958711.557135999</v>
      </c>
      <c r="AQ267" s="350">
        <f t="shared" si="388"/>
        <v>61958711.557135999</v>
      </c>
      <c r="AR267" s="418"/>
      <c r="AX267" s="245"/>
      <c r="AY267" s="245"/>
    </row>
    <row r="268" spans="1:51">
      <c r="AJ268" s="231" t="s">
        <v>156</v>
      </c>
      <c r="AK268" s="350">
        <f t="shared" ref="AK268" si="389">AK43+AK59+AK61+AK64+AK67+AK68+AK69+AK70+AK71+AK79+AK82+AK169+AK175</f>
        <v>21120107.983213246</v>
      </c>
      <c r="AL268" s="350">
        <f t="shared" ref="AL268" si="390">AL43+AL59+AL61+AL64+AL67+AL68+AL69+AL70+AL71+AL79+AL82+AL169+AL175</f>
        <v>24583883.713770002</v>
      </c>
      <c r="AM268" s="350"/>
      <c r="AN268" s="350" t="e">
        <f t="shared" ref="AN268:AQ268" si="391">AN43+AN59+AN61+AN64+AN67+AN68+AN69+AN70+AN71+AN79+AN82+AN169+AN175</f>
        <v>#VALUE!</v>
      </c>
      <c r="AO268" s="350">
        <f t="shared" si="391"/>
        <v>24583883.713770002</v>
      </c>
      <c r="AP268" s="350">
        <f t="shared" si="391"/>
        <v>24583883.713770002</v>
      </c>
      <c r="AQ268" s="350">
        <f t="shared" si="391"/>
        <v>24583883.713770002</v>
      </c>
      <c r="AR268" s="418"/>
      <c r="AX268" s="245"/>
      <c r="AY268" s="245"/>
    </row>
    <row r="269" spans="1:51">
      <c r="AJ269" s="231" t="s">
        <v>168</v>
      </c>
      <c r="AK269" s="350">
        <f t="shared" ref="AK269" si="392">AK187+AK200+AK201+AK204</f>
        <v>53635455</v>
      </c>
      <c r="AL269" s="350">
        <f t="shared" ref="AL269" si="393">AL187+AL200+AL201+AL204</f>
        <v>58929572.54405801</v>
      </c>
      <c r="AM269" s="350"/>
      <c r="AN269" s="350">
        <f t="shared" ref="AN269:AQ269" si="394">AN187+AN200+AN201+AN204</f>
        <v>0</v>
      </c>
      <c r="AO269" s="350">
        <f t="shared" si="394"/>
        <v>58929572.54405801</v>
      </c>
      <c r="AP269" s="350">
        <f t="shared" si="394"/>
        <v>58929572.54405801</v>
      </c>
      <c r="AQ269" s="350">
        <f t="shared" si="394"/>
        <v>58929572.54405801</v>
      </c>
      <c r="AR269" s="418"/>
      <c r="AX269" s="245"/>
      <c r="AY269" s="245"/>
    </row>
    <row r="270" spans="1:51">
      <c r="AJ270" s="231" t="s">
        <v>687</v>
      </c>
      <c r="AK270" s="350">
        <f t="shared" ref="AK270" si="395">AK101+AK176+AK177+AK197+AK199+AK211+AK215+AK236+AK253+AK254+AK256</f>
        <v>51813644.45047003</v>
      </c>
      <c r="AL270" s="350">
        <f t="shared" ref="AL270" si="396">AL101+AL176+AL177+AL197+AL199+AL211+AL215+AL236+AL253+AL254+AL256</f>
        <v>51826679</v>
      </c>
      <c r="AM270" s="350"/>
      <c r="AN270" s="350" t="e">
        <f t="shared" ref="AN270:AQ270" si="397">AN101+AN176+AN177+AN197+AN199+AN211+AN215+AN236+AN253+AN254+AN256</f>
        <v>#VALUE!</v>
      </c>
      <c r="AO270" s="350">
        <f t="shared" si="397"/>
        <v>51826679</v>
      </c>
      <c r="AP270" s="350">
        <f t="shared" si="397"/>
        <v>88881346</v>
      </c>
      <c r="AQ270" s="350">
        <f t="shared" si="397"/>
        <v>54609518</v>
      </c>
      <c r="AR270" s="418"/>
      <c r="AX270" s="245"/>
      <c r="AY270" s="245"/>
    </row>
    <row r="271" spans="1:51">
      <c r="AJ271" s="231" t="s">
        <v>727</v>
      </c>
      <c r="AK271" s="350">
        <f t="shared" ref="AK271" si="398">AK73+AK178</f>
        <v>0</v>
      </c>
      <c r="AL271" s="350">
        <f t="shared" ref="AL271" si="399">AL73+AL178</f>
        <v>0</v>
      </c>
      <c r="AM271" s="350"/>
      <c r="AN271" s="350">
        <f t="shared" ref="AN271:AQ271" si="400">AN73+AN178</f>
        <v>0</v>
      </c>
      <c r="AO271" s="350">
        <f t="shared" si="400"/>
        <v>0</v>
      </c>
      <c r="AP271" s="350">
        <f t="shared" si="400"/>
        <v>12100000</v>
      </c>
      <c r="AQ271" s="350">
        <f t="shared" si="400"/>
        <v>12100000</v>
      </c>
      <c r="AR271" s="418"/>
      <c r="AX271" s="245"/>
      <c r="AY271" s="245"/>
    </row>
    <row r="272" spans="1:51">
      <c r="AJ272" s="231"/>
      <c r="AK272" s="351">
        <f>SUM(AK266:AK271)</f>
        <v>226454564.23037246</v>
      </c>
      <c r="AL272" s="351">
        <f t="shared" ref="AL272:AQ272" si="401">SUM(AL266:AL271)</f>
        <v>241355170.61496401</v>
      </c>
      <c r="AM272" s="351"/>
      <c r="AN272" s="351" t="e">
        <f t="shared" si="401"/>
        <v>#VALUE!</v>
      </c>
      <c r="AO272" s="351">
        <f t="shared" si="401"/>
        <v>237944631.61496401</v>
      </c>
      <c r="AP272" s="351">
        <f t="shared" si="401"/>
        <v>298040395.814964</v>
      </c>
      <c r="AQ272" s="351">
        <f t="shared" si="401"/>
        <v>256238009.814964</v>
      </c>
      <c r="AR272" s="419"/>
      <c r="AX272" s="245"/>
      <c r="AY272" s="245"/>
    </row>
    <row r="273" spans="50:51">
      <c r="AX273" s="245"/>
      <c r="AY273" s="245"/>
    </row>
    <row r="274" spans="50:51">
      <c r="AX274" s="245"/>
      <c r="AY274" s="245"/>
    </row>
    <row r="275" spans="50:51">
      <c r="AX275" s="245"/>
      <c r="AY275" s="245"/>
    </row>
    <row r="276" spans="50:51">
      <c r="AX276" s="245"/>
      <c r="AY276" s="245"/>
    </row>
    <row r="277" spans="50:51">
      <c r="AX277" s="245"/>
      <c r="AY277" s="245"/>
    </row>
    <row r="278" spans="50:51">
      <c r="AX278" s="245"/>
      <c r="AY278" s="245"/>
    </row>
    <row r="279" spans="50:51">
      <c r="AX279" s="245"/>
      <c r="AY279" s="245"/>
    </row>
    <row r="280" spans="50:51">
      <c r="AX280" s="245"/>
      <c r="AY280" s="245"/>
    </row>
    <row r="281" spans="50:51">
      <c r="AX281" s="245"/>
      <c r="AY281" s="245"/>
    </row>
    <row r="282" spans="50:51">
      <c r="AX282" s="245"/>
      <c r="AY282" s="245"/>
    </row>
    <row r="283" spans="50:51">
      <c r="AX283" s="245"/>
      <c r="AY283" s="245"/>
    </row>
    <row r="284" spans="50:51">
      <c r="AX284" s="245"/>
      <c r="AY284" s="245"/>
    </row>
    <row r="285" spans="50:51">
      <c r="AX285" s="245"/>
      <c r="AY285" s="245"/>
    </row>
    <row r="286" spans="50:51">
      <c r="AX286" s="245"/>
      <c r="AY286" s="245"/>
    </row>
    <row r="287" spans="50:51">
      <c r="AX287" s="245"/>
      <c r="AY287" s="245"/>
    </row>
    <row r="288" spans="50:51">
      <c r="AX288" s="245"/>
      <c r="AY288" s="245"/>
    </row>
    <row r="289" spans="50:51">
      <c r="AX289" s="245"/>
      <c r="AY289" s="245"/>
    </row>
    <row r="290" spans="50:51">
      <c r="AX290" s="245"/>
      <c r="AY290" s="245"/>
    </row>
    <row r="291" spans="50:51">
      <c r="AX291" s="245"/>
      <c r="AY291" s="245"/>
    </row>
    <row r="292" spans="50:51">
      <c r="AX292" s="245"/>
      <c r="AY292" s="245"/>
    </row>
    <row r="293" spans="50:51">
      <c r="AX293" s="245"/>
      <c r="AY293" s="245"/>
    </row>
    <row r="294" spans="50:51">
      <c r="AX294" s="245"/>
      <c r="AY294" s="245"/>
    </row>
    <row r="295" spans="50:51">
      <c r="AX295" s="245"/>
      <c r="AY295" s="245"/>
    </row>
    <row r="296" spans="50:51">
      <c r="AX296" s="245"/>
      <c r="AY296" s="245"/>
    </row>
    <row r="297" spans="50:51">
      <c r="AX297" s="245"/>
      <c r="AY297" s="245"/>
    </row>
    <row r="298" spans="50:51">
      <c r="AX298" s="245"/>
      <c r="AY298" s="245"/>
    </row>
    <row r="299" spans="50:51">
      <c r="AX299" s="245"/>
      <c r="AY299" s="245"/>
    </row>
    <row r="300" spans="50:51">
      <c r="AX300" s="245"/>
      <c r="AY300" s="245"/>
    </row>
    <row r="301" spans="50:51">
      <c r="AX301" s="245"/>
      <c r="AY301" s="245"/>
    </row>
    <row r="302" spans="50:51">
      <c r="AX302" s="245"/>
      <c r="AY302" s="245"/>
    </row>
    <row r="303" spans="50:51">
      <c r="AX303" s="245"/>
      <c r="AY303" s="245"/>
    </row>
    <row r="304" spans="50:51">
      <c r="AX304" s="245"/>
      <c r="AY304" s="245"/>
    </row>
    <row r="305" spans="50:51">
      <c r="AX305" s="245"/>
      <c r="AY305" s="245"/>
    </row>
  </sheetData>
  <mergeCells count="1">
    <mergeCell ref="AH253:AH256"/>
  </mergeCells>
  <dataValidations xWindow="1193" yWindow="795" count="1">
    <dataValidation type="list" allowBlank="1" showInputMessage="1" showErrorMessage="1" errorTitle="Ko tu dari???" prompt="Vai AI piekrīt VI gala piedāvājumam?" sqref="AS184:AS262 AS114:AS182 AS111 AS17:AS109">
      <formula1>$AU$1:$AU$2</formula1>
    </dataValidation>
  </dataValidations>
  <pageMargins left="0.23622047244094491" right="0.27559055118110237" top="0.27559055118110237" bottom="0.31496062992125984" header="0.31496062992125984" footer="0.31496062992125984"/>
  <pageSetup paperSize="9" scale="60" fitToHeight="0" orientation="landscape" r:id="rId1"/>
  <headerFooter>
    <oddFooter>Page &amp;P of &amp;N</oddFooter>
  </headerFooter>
  <rowBreaks count="6" manualBreakCount="6">
    <brk id="42" max="42" man="1"/>
    <brk id="106" max="42" man="1"/>
    <brk id="126" max="42" man="1"/>
    <brk id="187" max="42" man="1"/>
    <brk id="232" max="42" man="1"/>
    <brk id="260" max="42" man="1"/>
  </rowBreaks>
  <ignoredErrors>
    <ignoredError sqref="AL152"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W96"/>
  <sheetViews>
    <sheetView tabSelected="1" view="pageBreakPreview" topLeftCell="A60" zoomScale="60" zoomScaleNormal="70" zoomScalePageLayoutView="70" workbookViewId="0">
      <selection activeCell="S70" sqref="S70"/>
    </sheetView>
  </sheetViews>
  <sheetFormatPr defaultColWidth="9.140625" defaultRowHeight="17.25"/>
  <cols>
    <col min="1" max="1" width="13" style="698" customWidth="1"/>
    <col min="2" max="2" width="31.140625" style="43" customWidth="1"/>
    <col min="3" max="3" width="14.28515625" style="42" customWidth="1"/>
    <col min="4" max="4" width="19.140625" style="42" customWidth="1"/>
    <col min="5" max="5" width="19.28515625" style="80" customWidth="1"/>
    <col min="6" max="6" width="19.28515625" style="499" hidden="1" customWidth="1"/>
    <col min="7" max="7" width="19.28515625" style="646" hidden="1" customWidth="1"/>
    <col min="8" max="8" width="19.7109375" style="80" customWidth="1"/>
    <col min="9" max="9" width="19.7109375" style="243" customWidth="1"/>
    <col min="10" max="13" width="19.7109375" style="478" hidden="1" customWidth="1"/>
    <col min="14" max="14" width="19.7109375" style="472" hidden="1" customWidth="1"/>
    <col min="15" max="18" width="19.7109375" style="243" customWidth="1"/>
    <col min="19" max="19" width="19.7109375" style="736" customWidth="1"/>
    <col min="20" max="20" width="19.7109375" style="42" customWidth="1"/>
    <col min="21" max="21" width="24.140625" style="42" customWidth="1"/>
    <col min="22" max="22" width="57.5703125" style="481" hidden="1" customWidth="1"/>
    <col min="23" max="23" width="12.7109375" style="42" bestFit="1" customWidth="1"/>
    <col min="24" max="24" width="22.140625" style="42" customWidth="1"/>
    <col min="25" max="16384" width="9.140625" style="42"/>
  </cols>
  <sheetData>
    <row r="1" spans="1:23" ht="17.25" hidden="1" customHeight="1">
      <c r="A1" s="298"/>
      <c r="B1" s="298"/>
      <c r="C1" s="298"/>
      <c r="D1" s="298"/>
      <c r="E1" s="436"/>
      <c r="F1" s="505"/>
      <c r="G1" s="633"/>
      <c r="H1" s="436"/>
      <c r="S1" s="734"/>
      <c r="T1" s="294"/>
      <c r="U1" s="294"/>
      <c r="V1" s="484"/>
    </row>
    <row r="2" spans="1:23" ht="17.25" customHeight="1">
      <c r="A2" s="694"/>
      <c r="B2" s="298"/>
      <c r="C2" s="298"/>
      <c r="D2" s="298"/>
      <c r="E2" s="436"/>
      <c r="F2" s="505"/>
      <c r="G2" s="633"/>
      <c r="H2" s="436"/>
      <c r="S2" s="734"/>
      <c r="T2" s="796"/>
      <c r="U2" s="796"/>
      <c r="V2" s="470"/>
    </row>
    <row r="3" spans="1:23" ht="17.25" customHeight="1">
      <c r="A3" s="694"/>
      <c r="B3" s="298"/>
      <c r="C3" s="298"/>
      <c r="D3" s="298"/>
      <c r="E3" s="436"/>
      <c r="F3" s="505"/>
      <c r="G3" s="633"/>
      <c r="H3" s="436"/>
      <c r="S3" s="734"/>
      <c r="T3" s="796"/>
      <c r="U3" s="796"/>
      <c r="V3" s="470"/>
    </row>
    <row r="4" spans="1:23" ht="17.25" customHeight="1">
      <c r="A4" s="695"/>
      <c r="B4" s="298"/>
      <c r="C4" s="298"/>
      <c r="D4" s="298"/>
      <c r="E4" s="436"/>
      <c r="F4" s="505"/>
      <c r="G4" s="633"/>
      <c r="H4" s="436"/>
      <c r="S4" s="734"/>
      <c r="T4" s="294"/>
      <c r="U4" s="294"/>
      <c r="V4" s="484"/>
    </row>
    <row r="5" spans="1:23" ht="17.25" customHeight="1">
      <c r="A5" s="694"/>
      <c r="B5" s="298"/>
      <c r="C5" s="298"/>
      <c r="D5" s="298"/>
      <c r="E5" s="436"/>
      <c r="F5" s="505"/>
      <c r="G5" s="633"/>
      <c r="H5" s="436"/>
      <c r="S5" s="734"/>
      <c r="T5" s="294"/>
      <c r="U5" s="294"/>
      <c r="V5" s="484"/>
    </row>
    <row r="6" spans="1:23" s="424" customFormat="1" ht="17.25" customHeight="1">
      <c r="A6" s="797"/>
      <c r="B6" s="798"/>
      <c r="C6" s="798"/>
      <c r="D6" s="798"/>
      <c r="E6" s="799"/>
      <c r="F6" s="799"/>
      <c r="G6" s="799"/>
      <c r="H6" s="800"/>
      <c r="I6" s="798"/>
      <c r="J6" s="798"/>
      <c r="K6" s="798"/>
      <c r="L6" s="798"/>
      <c r="M6" s="798"/>
      <c r="N6" s="798"/>
      <c r="O6" s="798"/>
      <c r="P6" s="798"/>
      <c r="Q6" s="798"/>
      <c r="R6" s="798"/>
      <c r="S6" s="798"/>
      <c r="T6" s="798"/>
      <c r="U6" s="798"/>
      <c r="V6" s="485"/>
    </row>
    <row r="7" spans="1:23" ht="17.25" customHeight="1">
      <c r="A7" s="696"/>
      <c r="B7" s="300"/>
      <c r="C7" s="300"/>
      <c r="D7" s="300"/>
      <c r="E7" s="314"/>
      <c r="F7" s="501"/>
      <c r="G7" s="634"/>
      <c r="H7" s="314"/>
      <c r="S7" s="729"/>
      <c r="T7" s="292"/>
      <c r="U7" s="292"/>
      <c r="V7" s="471"/>
    </row>
    <row r="8" spans="1:23" ht="81.75" customHeight="1">
      <c r="A8" s="696"/>
      <c r="B8" s="300"/>
      <c r="C8" s="300"/>
      <c r="D8" s="300"/>
      <c r="E8" s="501"/>
      <c r="F8" s="501"/>
      <c r="G8" s="634"/>
      <c r="H8" s="501"/>
      <c r="I8" s="804" t="s">
        <v>920</v>
      </c>
      <c r="J8" s="804"/>
      <c r="K8" s="804"/>
      <c r="L8" s="804"/>
      <c r="M8" s="804"/>
      <c r="N8" s="804"/>
      <c r="O8" s="804"/>
      <c r="P8" s="804"/>
      <c r="Q8" s="804"/>
      <c r="R8" s="804"/>
      <c r="S8" s="804"/>
      <c r="T8" s="804"/>
      <c r="U8" s="804"/>
      <c r="V8" s="471"/>
    </row>
    <row r="9" spans="1:23" ht="17.25" customHeight="1">
      <c r="A9" s="696"/>
      <c r="B9" s="693" t="s">
        <v>919</v>
      </c>
      <c r="C9" s="688"/>
      <c r="D9" s="688"/>
      <c r="E9" s="689"/>
      <c r="F9" s="689"/>
      <c r="G9" s="690"/>
      <c r="H9" s="689"/>
      <c r="I9" s="691"/>
      <c r="J9" s="691"/>
      <c r="K9" s="691"/>
      <c r="L9" s="691"/>
      <c r="M9" s="691"/>
      <c r="N9" s="691"/>
      <c r="O9" s="691"/>
      <c r="P9" s="691"/>
      <c r="Q9" s="691"/>
      <c r="R9" s="691"/>
      <c r="S9" s="730"/>
      <c r="T9" s="692"/>
      <c r="U9" s="692"/>
      <c r="V9" s="471"/>
    </row>
    <row r="10" spans="1:23" ht="17.25" customHeight="1">
      <c r="A10" s="696"/>
      <c r="B10" s="300"/>
      <c r="C10" s="300"/>
      <c r="D10" s="300"/>
      <c r="E10" s="501"/>
      <c r="F10" s="501"/>
      <c r="G10" s="634"/>
      <c r="H10" s="501"/>
      <c r="I10" s="686"/>
      <c r="J10" s="686"/>
      <c r="K10" s="686"/>
      <c r="L10" s="686"/>
      <c r="M10" s="686"/>
      <c r="N10" s="686"/>
      <c r="O10" s="686"/>
      <c r="P10" s="686"/>
      <c r="Q10" s="686"/>
      <c r="R10" s="686"/>
      <c r="S10" s="729"/>
      <c r="T10" s="292"/>
      <c r="U10" s="292"/>
      <c r="V10" s="471"/>
    </row>
    <row r="11" spans="1:23" ht="25.15" customHeight="1">
      <c r="A11" s="697"/>
      <c r="B11" s="314"/>
      <c r="C11" s="314"/>
      <c r="D11" s="652"/>
      <c r="E11" s="314"/>
      <c r="F11" s="501"/>
      <c r="G11" s="634"/>
      <c r="H11" s="314"/>
      <c r="I11" s="687"/>
      <c r="J11" s="687"/>
      <c r="K11" s="687"/>
      <c r="L11" s="687"/>
      <c r="M11" s="687"/>
      <c r="N11" s="687"/>
      <c r="O11" s="687"/>
      <c r="P11" s="805">
        <v>2014</v>
      </c>
      <c r="Q11" s="806"/>
      <c r="R11" s="806"/>
      <c r="S11" s="807"/>
      <c r="T11" s="435">
        <v>2015</v>
      </c>
      <c r="U11" s="435" t="s">
        <v>726</v>
      </c>
      <c r="V11" s="802" t="s">
        <v>745</v>
      </c>
    </row>
    <row r="12" spans="1:23" ht="34.5" customHeight="1" thickBot="1">
      <c r="D12" s="46"/>
      <c r="E12" s="437"/>
      <c r="F12" s="506"/>
      <c r="G12" s="635"/>
      <c r="H12" s="437"/>
      <c r="I12" s="803" t="s">
        <v>741</v>
      </c>
      <c r="J12" s="803"/>
      <c r="K12" s="803"/>
      <c r="L12" s="803"/>
      <c r="M12" s="803"/>
      <c r="N12" s="803"/>
      <c r="O12" s="803"/>
      <c r="P12" s="710" t="s">
        <v>925</v>
      </c>
      <c r="Q12" s="710" t="s">
        <v>926</v>
      </c>
      <c r="R12" s="710" t="s">
        <v>927</v>
      </c>
      <c r="S12" s="801" t="s">
        <v>928</v>
      </c>
      <c r="T12" s="801" t="s">
        <v>733</v>
      </c>
      <c r="U12" s="801" t="s">
        <v>733</v>
      </c>
      <c r="V12" s="814"/>
    </row>
    <row r="13" spans="1:23" s="50" customFormat="1" ht="165.75" thickTop="1">
      <c r="A13" s="699" t="s">
        <v>271</v>
      </c>
      <c r="B13" s="2" t="s">
        <v>272</v>
      </c>
      <c r="C13" s="2" t="s">
        <v>273</v>
      </c>
      <c r="D13" s="2" t="s">
        <v>683</v>
      </c>
      <c r="E13" s="2" t="s">
        <v>915</v>
      </c>
      <c r="F13" s="496" t="s">
        <v>860</v>
      </c>
      <c r="G13" s="636" t="s">
        <v>759</v>
      </c>
      <c r="H13" s="2" t="s">
        <v>744</v>
      </c>
      <c r="I13" s="456" t="s">
        <v>863</v>
      </c>
      <c r="J13" s="474" t="s">
        <v>771</v>
      </c>
      <c r="K13" s="474" t="s">
        <v>769</v>
      </c>
      <c r="L13" s="474" t="s">
        <v>869</v>
      </c>
      <c r="M13" s="511" t="s">
        <v>862</v>
      </c>
      <c r="N13" s="511" t="s">
        <v>861</v>
      </c>
      <c r="O13" s="711" t="s">
        <v>707</v>
      </c>
      <c r="P13" s="720" t="s">
        <v>733</v>
      </c>
      <c r="Q13" s="709" t="s">
        <v>733</v>
      </c>
      <c r="R13" s="709" t="s">
        <v>733</v>
      </c>
      <c r="S13" s="802"/>
      <c r="T13" s="802"/>
      <c r="U13" s="802"/>
      <c r="V13" s="815"/>
    </row>
    <row r="14" spans="1:23" s="448" customFormat="1">
      <c r="A14" s="463">
        <v>1</v>
      </c>
      <c r="B14" s="447">
        <v>2</v>
      </c>
      <c r="C14" s="447">
        <v>3</v>
      </c>
      <c r="D14" s="447">
        <v>4</v>
      </c>
      <c r="E14" s="447">
        <v>5</v>
      </c>
      <c r="F14" s="510">
        <v>6</v>
      </c>
      <c r="G14" s="637" t="s">
        <v>865</v>
      </c>
      <c r="H14" s="447">
        <v>7</v>
      </c>
      <c r="I14" s="447">
        <v>8</v>
      </c>
      <c r="J14" s="487" t="s">
        <v>768</v>
      </c>
      <c r="K14" s="487" t="s">
        <v>770</v>
      </c>
      <c r="L14" s="487" t="s">
        <v>866</v>
      </c>
      <c r="M14" s="649" t="s">
        <v>867</v>
      </c>
      <c r="N14" s="463" t="s">
        <v>868</v>
      </c>
      <c r="O14" s="712">
        <v>11</v>
      </c>
      <c r="P14" s="721">
        <v>12</v>
      </c>
      <c r="Q14" s="510">
        <v>13</v>
      </c>
      <c r="R14" s="510">
        <v>14</v>
      </c>
      <c r="S14" s="510">
        <v>15</v>
      </c>
      <c r="T14" s="447">
        <v>16</v>
      </c>
      <c r="U14" s="463" t="s">
        <v>929</v>
      </c>
      <c r="V14" s="510">
        <v>15</v>
      </c>
    </row>
    <row r="15" spans="1:23" s="441" customFormat="1" ht="35.25" customHeight="1">
      <c r="A15" s="700"/>
      <c r="B15" s="449" t="s">
        <v>439</v>
      </c>
      <c r="C15" s="457"/>
      <c r="E15" s="438">
        <f>E24+E30+E37+E40+E47+E52+E55</f>
        <v>284366287.97090602</v>
      </c>
      <c r="F15" s="507">
        <f>F24+F30+F37+F40+F47+F52+F55</f>
        <v>-28408478.344285276</v>
      </c>
      <c r="G15" s="638">
        <f>SUM(G25:G64)</f>
        <v>485369089.77467597</v>
      </c>
      <c r="H15" s="438">
        <f t="shared" ref="H15:U15" si="0">H24+H30+H37+H40+H47+H52+H55</f>
        <v>125449286.99377002</v>
      </c>
      <c r="I15" s="438">
        <f t="shared" si="0"/>
        <v>154768215.37377</v>
      </c>
      <c r="J15" s="512">
        <f t="shared" si="0"/>
        <v>90791391.061111093</v>
      </c>
      <c r="K15" s="480">
        <f t="shared" ref="K15:R15" si="1">K24+K30+K37+K40+K47+K52+K55</f>
        <v>100415488.7</v>
      </c>
      <c r="L15" s="480">
        <f t="shared" si="1"/>
        <v>191206879.76111111</v>
      </c>
      <c r="M15" s="632">
        <f t="shared" si="1"/>
        <v>-16430797</v>
      </c>
      <c r="N15" s="507">
        <f t="shared" si="1"/>
        <v>-44839275.344285272</v>
      </c>
      <c r="O15" s="713">
        <f t="shared" si="1"/>
        <v>184053690.73377001</v>
      </c>
      <c r="P15" s="722">
        <f t="shared" si="1"/>
        <v>60021429.944999993</v>
      </c>
      <c r="Q15" s="507">
        <f t="shared" si="1"/>
        <v>79283791.090000004</v>
      </c>
      <c r="R15" s="507">
        <f t="shared" si="1"/>
        <v>97237363.329999998</v>
      </c>
      <c r="S15" s="507">
        <f t="shared" si="0"/>
        <v>97237363.329999998</v>
      </c>
      <c r="T15" s="438">
        <f t="shared" si="0"/>
        <v>0</v>
      </c>
      <c r="U15" s="438">
        <f t="shared" si="0"/>
        <v>280412816.06377</v>
      </c>
      <c r="V15" s="473"/>
      <c r="W15" s="440"/>
    </row>
    <row r="16" spans="1:23" s="441" customFormat="1" ht="15" customHeight="1">
      <c r="A16" s="701"/>
      <c r="B16" s="442"/>
      <c r="C16" s="443"/>
      <c r="D16" s="443"/>
      <c r="E16" s="442"/>
      <c r="F16" s="508"/>
      <c r="G16" s="639"/>
      <c r="H16" s="442"/>
      <c r="I16" s="444"/>
      <c r="J16" s="513"/>
      <c r="K16" s="479"/>
      <c r="L16" s="479"/>
      <c r="M16" s="497"/>
      <c r="N16" s="497"/>
      <c r="O16" s="714"/>
      <c r="P16" s="723"/>
      <c r="Q16" s="444"/>
      <c r="R16" s="444"/>
      <c r="S16" s="444"/>
      <c r="T16" s="444"/>
      <c r="U16" s="444"/>
      <c r="V16" s="493"/>
      <c r="W16" s="440"/>
    </row>
    <row r="17" spans="1:23" s="452" customFormat="1" ht="19.5" customHeight="1">
      <c r="A17" s="702"/>
      <c r="B17" s="449" t="s">
        <v>440</v>
      </c>
      <c r="C17" s="450"/>
      <c r="D17" s="450"/>
      <c r="E17" s="438">
        <f>E25+E26+E31+E32+E33+E41+E42+E43+E44+E45+E53</f>
        <v>52749579.970905997</v>
      </c>
      <c r="F17" s="507">
        <f>F25+F26+F31+F32+F33+F41+F42+F43+F44+F45+F53</f>
        <v>0</v>
      </c>
      <c r="G17" s="512">
        <f>G25+G26+G31+G32+G33+G41+G42+G43+G44+G45+G53</f>
        <v>54891724.270905994</v>
      </c>
      <c r="H17" s="438">
        <f>H25+H26+H31+H32+H33+H41+H42+H43+H44+H45+H53</f>
        <v>31749639.343770001</v>
      </c>
      <c r="I17" s="438">
        <f t="shared" ref="I17:U17" si="2">I25+I26+I31+I32+I33+I41+I42+I43+I44+I45+I53</f>
        <v>31093804.74377</v>
      </c>
      <c r="J17" s="512">
        <f t="shared" ref="J17" si="3">J25+J26+J31+J32+J33+J41+J42+J43+J44+J45+J53</f>
        <v>29918666.959999993</v>
      </c>
      <c r="K17" s="480">
        <f t="shared" ref="K17:L17" si="4">K25+K26+K31+K32+K33+K41+K42+K43+K44+K45+K53</f>
        <v>8188317</v>
      </c>
      <c r="L17" s="480">
        <f t="shared" si="4"/>
        <v>38106983.959999993</v>
      </c>
      <c r="M17" s="651"/>
      <c r="N17" s="651"/>
      <c r="O17" s="713">
        <f t="shared" si="2"/>
        <v>43467829.743770003</v>
      </c>
      <c r="P17" s="722">
        <f t="shared" ref="P17:R17" si="5">P25+P26+P31+P32+P33+P41+P42+P43+P44+P45+P53</f>
        <v>9047382</v>
      </c>
      <c r="Q17" s="507">
        <f t="shared" si="5"/>
        <v>9047382</v>
      </c>
      <c r="R17" s="507">
        <f t="shared" si="5"/>
        <v>9047382</v>
      </c>
      <c r="S17" s="507">
        <f t="shared" si="2"/>
        <v>9047382</v>
      </c>
      <c r="T17" s="438">
        <f t="shared" si="2"/>
        <v>0</v>
      </c>
      <c r="U17" s="438">
        <f t="shared" si="2"/>
        <v>52515211.743770003</v>
      </c>
      <c r="V17" s="473"/>
      <c r="W17" s="96"/>
    </row>
    <row r="18" spans="1:23" s="452" customFormat="1">
      <c r="A18" s="702"/>
      <c r="B18" s="449" t="s">
        <v>441</v>
      </c>
      <c r="C18" s="450"/>
      <c r="D18" s="438"/>
      <c r="E18" s="438">
        <f>E27+E28+E29+E35+E36+E38+E39+E46+E48+E49+E54+E56+E57+E58+E59</f>
        <v>187439677</v>
      </c>
      <c r="F18" s="507">
        <f>F27+F28+F29+F35+F36+F38+F39+F46+F48+F49+F54+F56+F57+F58+F59</f>
        <v>0</v>
      </c>
      <c r="G18" s="512">
        <f t="shared" ref="G18" si="6">G27+G28+G29+G35+G36+G38+G39+G46+G48+G49+G54+G56+G57+G58+G59</f>
        <v>196509975.78999999</v>
      </c>
      <c r="H18" s="438">
        <f t="shared" ref="H18:T18" si="7">H27+H28+H29+H35+H36+H38+H39+H46+H48+H49+H54+H56+H57+H58+H59</f>
        <v>71132595.550000012</v>
      </c>
      <c r="I18" s="438">
        <f t="shared" si="7"/>
        <v>94420232.629999995</v>
      </c>
      <c r="J18" s="512">
        <f t="shared" ref="J18" si="8">J27+J28+J29+J35+J36+J38+J39+J46+J48+J49+J54+J56+J57+J58+J59</f>
        <v>32515732.10111111</v>
      </c>
      <c r="K18" s="480">
        <f t="shared" ref="K18:L18" si="9">K27+K28+K29+K35+K36+K38+K39+K46+K48+K49+K54+K56+K57+K58+K59</f>
        <v>83175194</v>
      </c>
      <c r="L18" s="480">
        <f t="shared" si="9"/>
        <v>115690926.10111111</v>
      </c>
      <c r="M18" s="651"/>
      <c r="N18" s="651"/>
      <c r="O18" s="713">
        <f t="shared" ref="O18:S18" si="10">O27+O28+O29+O35+O36+O38+O39+O46+O48+O49+O54+O56+O57+O58+O59</f>
        <v>109289608.98999999</v>
      </c>
      <c r="P18" s="722">
        <f t="shared" si="10"/>
        <v>38172470.944999993</v>
      </c>
      <c r="Q18" s="507">
        <f t="shared" si="10"/>
        <v>57434832.089999996</v>
      </c>
      <c r="R18" s="507">
        <f t="shared" si="10"/>
        <v>75258404.329999998</v>
      </c>
      <c r="S18" s="507">
        <f t="shared" si="10"/>
        <v>75258404.329999998</v>
      </c>
      <c r="T18" s="438">
        <f t="shared" si="7"/>
        <v>0</v>
      </c>
      <c r="U18" s="438">
        <f>U27+U28+U29+U35+U36+U38+U39+U46+U48+U49+U54+U56+U57+U58+U59+U60+U61</f>
        <v>193790028.31999996</v>
      </c>
      <c r="V18" s="473"/>
      <c r="W18" s="96"/>
    </row>
    <row r="19" spans="1:23" s="441" customFormat="1">
      <c r="A19" s="700"/>
      <c r="B19" s="449" t="s">
        <v>442</v>
      </c>
      <c r="C19" s="439"/>
      <c r="D19" s="439"/>
      <c r="E19" s="438">
        <f>E50+E62+E63+E64</f>
        <v>34056778</v>
      </c>
      <c r="F19" s="507">
        <f>F50+F62+F63+F64</f>
        <v>0</v>
      </c>
      <c r="G19" s="512">
        <f t="shared" ref="G19" si="11">G50+G62+G63+G64</f>
        <v>42316957</v>
      </c>
      <c r="H19" s="438">
        <f t="shared" ref="H19:U19" si="12">H50+H62+H63+H64</f>
        <v>22567052.100000005</v>
      </c>
      <c r="I19" s="438">
        <f t="shared" si="12"/>
        <v>29254178</v>
      </c>
      <c r="J19" s="512">
        <f t="shared" ref="J19" si="13">J50+J62+J63+J64</f>
        <v>28356992</v>
      </c>
      <c r="K19" s="480">
        <f t="shared" ref="K19:L19" si="14">K50+K62+K63+K64</f>
        <v>7051977.7000000002</v>
      </c>
      <c r="L19" s="480">
        <f t="shared" si="14"/>
        <v>35408969.700000003</v>
      </c>
      <c r="M19" s="651"/>
      <c r="N19" s="651"/>
      <c r="O19" s="713">
        <f t="shared" si="12"/>
        <v>30260095</v>
      </c>
      <c r="P19" s="722">
        <f t="shared" ref="P19:R19" si="15">P50+P62+P63+P64</f>
        <v>3717481</v>
      </c>
      <c r="Q19" s="507">
        <f t="shared" si="15"/>
        <v>3717481</v>
      </c>
      <c r="R19" s="507">
        <f t="shared" si="15"/>
        <v>3847481</v>
      </c>
      <c r="S19" s="507">
        <f t="shared" si="12"/>
        <v>3847481</v>
      </c>
      <c r="T19" s="438">
        <f t="shared" si="12"/>
        <v>0</v>
      </c>
      <c r="U19" s="438">
        <f t="shared" si="12"/>
        <v>34107576</v>
      </c>
      <c r="V19" s="473"/>
      <c r="W19" s="440"/>
    </row>
    <row r="20" spans="1:23" s="441" customFormat="1">
      <c r="A20" s="701"/>
      <c r="B20" s="442"/>
      <c r="C20" s="443"/>
      <c r="D20" s="443"/>
      <c r="E20" s="443"/>
      <c r="F20" s="509"/>
      <c r="G20" s="640"/>
      <c r="H20" s="443"/>
      <c r="I20" s="444"/>
      <c r="J20" s="513"/>
      <c r="K20" s="479"/>
      <c r="L20" s="479"/>
      <c r="M20" s="497"/>
      <c r="N20" s="497"/>
      <c r="O20" s="714"/>
      <c r="P20" s="723"/>
      <c r="Q20" s="444"/>
      <c r="R20" s="444"/>
      <c r="S20" s="444"/>
      <c r="T20" s="444"/>
      <c r="U20" s="444"/>
      <c r="V20" s="493"/>
    </row>
    <row r="21" spans="1:23" s="452" customFormat="1">
      <c r="A21" s="702"/>
      <c r="B21" s="449" t="s">
        <v>443</v>
      </c>
      <c r="C21" s="451"/>
      <c r="D21" s="451"/>
      <c r="E21" s="438">
        <f t="shared" ref="E21:L21" si="16">E25+E26+E31+E32+E33+E41+E42+E43+E44+E45+E53</f>
        <v>52749579.970905997</v>
      </c>
      <c r="F21" s="507">
        <f t="shared" si="16"/>
        <v>0</v>
      </c>
      <c r="G21" s="512">
        <f t="shared" si="16"/>
        <v>54891724.270905994</v>
      </c>
      <c r="H21" s="438">
        <f t="shared" si="16"/>
        <v>31749639.343770001</v>
      </c>
      <c r="I21" s="438">
        <f t="shared" si="16"/>
        <v>31093804.74377</v>
      </c>
      <c r="J21" s="512">
        <f t="shared" si="16"/>
        <v>29918666.959999993</v>
      </c>
      <c r="K21" s="480">
        <f t="shared" si="16"/>
        <v>8188317</v>
      </c>
      <c r="L21" s="480">
        <f t="shared" si="16"/>
        <v>38106983.959999993</v>
      </c>
      <c r="M21" s="631"/>
      <c r="N21" s="651"/>
      <c r="O21" s="715">
        <f t="shared" ref="O21:P21" si="17">O17</f>
        <v>43467829.743770003</v>
      </c>
      <c r="P21" s="724">
        <f t="shared" si="17"/>
        <v>9047382</v>
      </c>
      <c r="Q21" s="55">
        <f t="shared" ref="Q21:R21" si="18">Q17</f>
        <v>9047382</v>
      </c>
      <c r="R21" s="55">
        <f t="shared" si="18"/>
        <v>9047382</v>
      </c>
      <c r="S21" s="55">
        <f>S25+S26+S31+S32+S33+S41+S42+S43+S44+S45+S53</f>
        <v>9047382</v>
      </c>
      <c r="T21" s="438">
        <f>T25+T26+T31+T32+T33+T41+T42+T43+T44+T45+T53</f>
        <v>0</v>
      </c>
      <c r="U21" s="438">
        <f>U25+U26+U31+U32+U33+U41+U42+U43+U44+U45+U53</f>
        <v>52515211.743770003</v>
      </c>
      <c r="V21" s="473"/>
      <c r="W21" s="96"/>
    </row>
    <row r="22" spans="1:23" s="452" customFormat="1">
      <c r="A22" s="702"/>
      <c r="B22" s="449" t="s">
        <v>444</v>
      </c>
      <c r="C22" s="450"/>
      <c r="D22" s="438"/>
      <c r="E22" s="438">
        <f>E27+E28+E35</f>
        <v>46814550</v>
      </c>
      <c r="F22" s="507">
        <f>F27+F28+F35</f>
        <v>0</v>
      </c>
      <c r="G22" s="512">
        <f t="shared" ref="G22" si="19">G27+G28+G35</f>
        <v>22076095.789999999</v>
      </c>
      <c r="H22" s="438">
        <f t="shared" ref="H22:U22" si="20">H27+H28+H35</f>
        <v>5897516.4200000092</v>
      </c>
      <c r="I22" s="438">
        <f t="shared" si="20"/>
        <v>7232354</v>
      </c>
      <c r="J22" s="512">
        <f t="shared" ref="J22" si="21">J27+J28+J35</f>
        <v>5815740.9899999984</v>
      </c>
      <c r="K22" s="480">
        <f t="shared" ref="K22:L22" si="22">K27+K28+K35</f>
        <v>6000000</v>
      </c>
      <c r="L22" s="480">
        <f t="shared" si="22"/>
        <v>11815740.989999998</v>
      </c>
      <c r="M22" s="631"/>
      <c r="N22" s="651"/>
      <c r="O22" s="713">
        <f t="shared" si="20"/>
        <v>7232354</v>
      </c>
      <c r="P22" s="722">
        <f t="shared" ref="P22:R22" si="23">P27+P28+P35</f>
        <v>11758623.76</v>
      </c>
      <c r="Q22" s="507">
        <f t="shared" si="23"/>
        <v>21758623.759999998</v>
      </c>
      <c r="R22" s="507">
        <f t="shared" si="23"/>
        <v>39582196</v>
      </c>
      <c r="S22" s="507">
        <f t="shared" si="20"/>
        <v>39582196</v>
      </c>
      <c r="T22" s="438">
        <f t="shared" si="20"/>
        <v>0</v>
      </c>
      <c r="U22" s="438">
        <f t="shared" si="20"/>
        <v>46814550</v>
      </c>
      <c r="V22" s="473"/>
      <c r="W22" s="96"/>
    </row>
    <row r="23" spans="1:23" s="452" customFormat="1">
      <c r="A23" s="702"/>
      <c r="B23" s="449" t="s">
        <v>445</v>
      </c>
      <c r="C23" s="451"/>
      <c r="D23" s="438"/>
      <c r="E23" s="438">
        <f>E15-E21-E22</f>
        <v>184802158.00000003</v>
      </c>
      <c r="F23" s="507">
        <f>F15-F21-F22</f>
        <v>-28408478.344285276</v>
      </c>
      <c r="G23" s="512">
        <f t="shared" ref="G23" si="24">G15-G21-G22</f>
        <v>408401269.71376997</v>
      </c>
      <c r="H23" s="438">
        <f t="shared" ref="H23:U23" si="25">H15-H21-H22</f>
        <v>87802131.230000019</v>
      </c>
      <c r="I23" s="438">
        <f t="shared" si="25"/>
        <v>116442056.63</v>
      </c>
      <c r="J23" s="512">
        <f t="shared" ref="J23" si="26">J15-J21-J22</f>
        <v>55056983.111111104</v>
      </c>
      <c r="K23" s="480">
        <f t="shared" ref="K23:L23" si="27">K15-K21-K22</f>
        <v>86227171.700000003</v>
      </c>
      <c r="L23" s="480">
        <f t="shared" si="27"/>
        <v>141284154.81111109</v>
      </c>
      <c r="M23" s="631"/>
      <c r="N23" s="651"/>
      <c r="O23" s="713">
        <f t="shared" si="25"/>
        <v>133353506.99000001</v>
      </c>
      <c r="P23" s="722">
        <f t="shared" ref="P23:R23" si="28">P15-P21-P22</f>
        <v>39215424.184999995</v>
      </c>
      <c r="Q23" s="507">
        <f t="shared" si="28"/>
        <v>48477785.330000006</v>
      </c>
      <c r="R23" s="507">
        <f t="shared" si="28"/>
        <v>48607785.329999998</v>
      </c>
      <c r="S23" s="507">
        <f t="shared" si="25"/>
        <v>48607785.329999998</v>
      </c>
      <c r="T23" s="438">
        <f t="shared" si="25"/>
        <v>0</v>
      </c>
      <c r="U23" s="438">
        <f t="shared" si="25"/>
        <v>181083054.31999999</v>
      </c>
      <c r="V23" s="473"/>
      <c r="W23" s="96"/>
    </row>
    <row r="24" spans="1:23" s="434" customFormat="1" ht="23.25" customHeight="1">
      <c r="A24" s="703" t="s">
        <v>737</v>
      </c>
      <c r="B24" s="454"/>
      <c r="C24" s="454"/>
      <c r="D24" s="455"/>
      <c r="E24" s="433">
        <f>SUM(E25:E29)</f>
        <v>56835208</v>
      </c>
      <c r="F24" s="504">
        <f>maksajumu_merku_neizpilde!AS24</f>
        <v>-6781859.3200000003</v>
      </c>
      <c r="G24" s="641"/>
      <c r="H24" s="433">
        <f t="shared" ref="H24:U24" si="29">SUM(H25:H29)</f>
        <v>5897516.4200000092</v>
      </c>
      <c r="I24" s="433">
        <f t="shared" si="29"/>
        <v>8776480</v>
      </c>
      <c r="J24" s="514">
        <f t="shared" si="29"/>
        <v>8315740.9899999984</v>
      </c>
      <c r="K24" s="475">
        <f t="shared" ref="K24:L24" si="30">SUM(K25:K29)</f>
        <v>18000000</v>
      </c>
      <c r="L24" s="475">
        <f t="shared" si="30"/>
        <v>26315740.989999998</v>
      </c>
      <c r="M24" s="504">
        <f>M28</f>
        <v>-6000000</v>
      </c>
      <c r="N24" s="504">
        <f>F24+M24</f>
        <v>-12781859.32</v>
      </c>
      <c r="O24" s="716">
        <f t="shared" si="29"/>
        <v>9393672.3099999893</v>
      </c>
      <c r="P24" s="725">
        <f t="shared" si="29"/>
        <v>14276914.925000001</v>
      </c>
      <c r="Q24" s="504">
        <f t="shared" si="29"/>
        <v>26313256.089999996</v>
      </c>
      <c r="R24" s="504">
        <f t="shared" si="29"/>
        <v>44131410.329999998</v>
      </c>
      <c r="S24" s="504">
        <f t="shared" si="29"/>
        <v>44131410.329999998</v>
      </c>
      <c r="T24" s="433">
        <f t="shared" si="29"/>
        <v>0</v>
      </c>
      <c r="U24" s="433">
        <f t="shared" si="29"/>
        <v>53525082.639999993</v>
      </c>
      <c r="V24" s="488"/>
    </row>
    <row r="25" spans="1:23" ht="99">
      <c r="A25" s="68" t="s">
        <v>220</v>
      </c>
      <c r="B25" s="69" t="s">
        <v>483</v>
      </c>
      <c r="C25" s="70" t="s">
        <v>0</v>
      </c>
      <c r="D25" s="70" t="s">
        <v>155</v>
      </c>
      <c r="E25" s="498">
        <v>481950</v>
      </c>
      <c r="F25" s="629"/>
      <c r="G25" s="642">
        <v>2500000</v>
      </c>
      <c r="H25" s="77">
        <v>0</v>
      </c>
      <c r="I25" s="462">
        <v>0</v>
      </c>
      <c r="J25" s="494">
        <v>2500000</v>
      </c>
      <c r="K25" s="494">
        <v>0</v>
      </c>
      <c r="L25" s="494">
        <f>J25+K25</f>
        <v>2500000</v>
      </c>
      <c r="M25" s="650" t="s">
        <v>864</v>
      </c>
      <c r="N25" s="648"/>
      <c r="O25" s="717">
        <v>0</v>
      </c>
      <c r="P25" s="726">
        <f>E25</f>
        <v>481950</v>
      </c>
      <c r="Q25" s="707">
        <f>P25</f>
        <v>481950</v>
      </c>
      <c r="R25" s="707">
        <f>Q25</f>
        <v>481950</v>
      </c>
      <c r="S25" s="707">
        <v>481950</v>
      </c>
      <c r="T25" s="498">
        <v>0</v>
      </c>
      <c r="U25" s="498">
        <f>O25+S25+T25</f>
        <v>481950</v>
      </c>
      <c r="V25" s="467" t="s">
        <v>762</v>
      </c>
    </row>
    <row r="26" spans="1:23" s="500" customFormat="1" ht="49.5">
      <c r="A26" s="68" t="s">
        <v>221</v>
      </c>
      <c r="B26" s="69" t="s">
        <v>487</v>
      </c>
      <c r="C26" s="70" t="s">
        <v>0</v>
      </c>
      <c r="D26" s="70" t="s">
        <v>155</v>
      </c>
      <c r="E26" s="76">
        <v>1544126</v>
      </c>
      <c r="F26" s="682"/>
      <c r="G26" s="76">
        <v>1544126</v>
      </c>
      <c r="H26" s="76">
        <v>0</v>
      </c>
      <c r="I26" s="461">
        <v>1544126</v>
      </c>
      <c r="J26" s="460">
        <v>0</v>
      </c>
      <c r="K26" s="461">
        <v>0</v>
      </c>
      <c r="L26" s="498">
        <f t="shared" ref="L26:L49" si="31">J26+K26</f>
        <v>0</v>
      </c>
      <c r="M26" s="498">
        <v>0</v>
      </c>
      <c r="N26" s="629">
        <v>0</v>
      </c>
      <c r="O26" s="718">
        <v>1544126</v>
      </c>
      <c r="P26" s="727"/>
      <c r="Q26" s="708"/>
      <c r="R26" s="708"/>
      <c r="S26" s="708">
        <v>0</v>
      </c>
      <c r="T26" s="461">
        <v>0</v>
      </c>
      <c r="U26" s="498">
        <f>O26+S26+T26</f>
        <v>1544126</v>
      </c>
      <c r="V26" s="683" t="s">
        <v>746</v>
      </c>
    </row>
    <row r="27" spans="1:23" ht="186.75" customHeight="1">
      <c r="A27" s="68" t="s">
        <v>742</v>
      </c>
      <c r="B27" s="69" t="s">
        <v>552</v>
      </c>
      <c r="C27" s="70" t="s">
        <v>56</v>
      </c>
      <c r="D27" s="70" t="s">
        <v>155</v>
      </c>
      <c r="E27" s="498">
        <v>40809132</v>
      </c>
      <c r="F27" s="629"/>
      <c r="G27" s="512">
        <v>16070677.789999999</v>
      </c>
      <c r="H27" s="77">
        <v>5897516.4200000092</v>
      </c>
      <c r="I27" s="498">
        <v>7232354</v>
      </c>
      <c r="J27" s="491">
        <v>5815740.9899999984</v>
      </c>
      <c r="K27" s="494">
        <v>0</v>
      </c>
      <c r="L27" s="494">
        <f t="shared" si="31"/>
        <v>5815740.9899999984</v>
      </c>
      <c r="M27" s="498">
        <v>0</v>
      </c>
      <c r="N27" s="629"/>
      <c r="O27" s="717">
        <v>7232354</v>
      </c>
      <c r="P27" s="726">
        <v>10000000</v>
      </c>
      <c r="Q27" s="707">
        <v>20000000</v>
      </c>
      <c r="R27" s="707">
        <f>S27</f>
        <v>33576778</v>
      </c>
      <c r="S27" s="707">
        <v>33576778</v>
      </c>
      <c r="T27" s="498">
        <v>0</v>
      </c>
      <c r="U27" s="498">
        <f>O27+S27+T27</f>
        <v>40809132</v>
      </c>
      <c r="V27" s="467" t="s">
        <v>916</v>
      </c>
    </row>
    <row r="28" spans="1:23" ht="66">
      <c r="A28" s="68" t="s">
        <v>717</v>
      </c>
      <c r="B28" s="69" t="s">
        <v>718</v>
      </c>
      <c r="C28" s="70" t="s">
        <v>56</v>
      </c>
      <c r="D28" s="70" t="s">
        <v>155</v>
      </c>
      <c r="E28" s="458">
        <v>6000000</v>
      </c>
      <c r="F28" s="630"/>
      <c r="G28" s="643">
        <v>6000000</v>
      </c>
      <c r="H28" s="348">
        <v>0</v>
      </c>
      <c r="I28" s="461">
        <v>0</v>
      </c>
      <c r="J28" s="477">
        <v>0</v>
      </c>
      <c r="K28" s="476">
        <v>6000000</v>
      </c>
      <c r="L28" s="494">
        <f t="shared" si="31"/>
        <v>6000000</v>
      </c>
      <c r="M28" s="498">
        <f>I28-L28</f>
        <v>-6000000</v>
      </c>
      <c r="N28" s="629"/>
      <c r="O28" s="718">
        <v>0</v>
      </c>
      <c r="P28" s="727">
        <v>1758623.7599999998</v>
      </c>
      <c r="Q28" s="708">
        <f>P28</f>
        <v>1758623.7599999998</v>
      </c>
      <c r="R28" s="708">
        <v>6000000</v>
      </c>
      <c r="S28" s="708">
        <v>6000000</v>
      </c>
      <c r="T28" s="461">
        <v>0</v>
      </c>
      <c r="U28" s="498">
        <f>O28+S28+T28</f>
        <v>6000000</v>
      </c>
      <c r="V28" s="467" t="s">
        <v>917</v>
      </c>
    </row>
    <row r="29" spans="1:23" ht="198">
      <c r="A29" s="704" t="s">
        <v>216</v>
      </c>
      <c r="B29" s="69" t="s">
        <v>922</v>
      </c>
      <c r="C29" s="70" t="s">
        <v>56</v>
      </c>
      <c r="D29" s="70" t="s">
        <v>155</v>
      </c>
      <c r="E29" s="81">
        <v>8000000</v>
      </c>
      <c r="F29" s="630"/>
      <c r="G29" s="643">
        <v>15000000</v>
      </c>
      <c r="H29" s="461">
        <v>0</v>
      </c>
      <c r="I29" s="461">
        <v>0</v>
      </c>
      <c r="J29" s="468">
        <v>0</v>
      </c>
      <c r="K29" s="476">
        <v>12000000</v>
      </c>
      <c r="L29" s="494">
        <f t="shared" si="31"/>
        <v>12000000</v>
      </c>
      <c r="M29" s="650" t="s">
        <v>864</v>
      </c>
      <c r="N29" s="629"/>
      <c r="O29" s="718">
        <v>617192.30999999004</v>
      </c>
      <c r="P29" s="727">
        <f>S29/2</f>
        <v>2036341.165</v>
      </c>
      <c r="Q29" s="708">
        <f>S29</f>
        <v>4072682.33</v>
      </c>
      <c r="R29" s="708">
        <f>S29</f>
        <v>4072682.33</v>
      </c>
      <c r="S29" s="708">
        <v>4072682.33</v>
      </c>
      <c r="T29" s="461">
        <v>0</v>
      </c>
      <c r="U29" s="498">
        <f>O29+S29+T29</f>
        <v>4689874.6399999904</v>
      </c>
      <c r="V29" s="467" t="s">
        <v>918</v>
      </c>
    </row>
    <row r="30" spans="1:23" s="434" customFormat="1" ht="21" customHeight="1">
      <c r="A30" s="453" t="s">
        <v>734</v>
      </c>
      <c r="B30" s="454"/>
      <c r="C30" s="454"/>
      <c r="D30" s="455"/>
      <c r="E30" s="433">
        <f>SUM(E31:E36)</f>
        <v>36037209.557135999</v>
      </c>
      <c r="F30" s="504">
        <v>0</v>
      </c>
      <c r="G30" s="641"/>
      <c r="H30" s="433">
        <f t="shared" ref="H30:U30" si="32">SUM(H31:H36)</f>
        <v>4300000.2999999989</v>
      </c>
      <c r="I30" s="433">
        <f t="shared" si="32"/>
        <v>1775040</v>
      </c>
      <c r="J30" s="504">
        <f>SUM(J31:J36)</f>
        <v>4300000.2999999989</v>
      </c>
      <c r="K30" s="475">
        <f t="shared" si="32"/>
        <v>6463146</v>
      </c>
      <c r="L30" s="475">
        <f t="shared" si="32"/>
        <v>10763146.299999999</v>
      </c>
      <c r="M30" s="504">
        <f t="shared" si="32"/>
        <v>-3197606</v>
      </c>
      <c r="N30" s="504">
        <f>F30+M30</f>
        <v>-3197606</v>
      </c>
      <c r="O30" s="716">
        <f t="shared" si="32"/>
        <v>14149065</v>
      </c>
      <c r="P30" s="725">
        <f t="shared" si="32"/>
        <v>21882727</v>
      </c>
      <c r="Q30" s="504">
        <f t="shared" si="32"/>
        <v>21882727</v>
      </c>
      <c r="R30" s="504">
        <f t="shared" si="32"/>
        <v>21888145</v>
      </c>
      <c r="S30" s="504">
        <f>SUM(S31:S36)</f>
        <v>21888145</v>
      </c>
      <c r="T30" s="433">
        <f t="shared" si="32"/>
        <v>0</v>
      </c>
      <c r="U30" s="433">
        <f t="shared" si="32"/>
        <v>36037210</v>
      </c>
      <c r="V30" s="488"/>
    </row>
    <row r="31" spans="1:23" s="440" customFormat="1" ht="82.5">
      <c r="A31" s="68" t="s">
        <v>236</v>
      </c>
      <c r="B31" s="69" t="s">
        <v>447</v>
      </c>
      <c r="C31" s="70" t="s">
        <v>0</v>
      </c>
      <c r="D31" s="70" t="s">
        <v>5</v>
      </c>
      <c r="E31" s="348">
        <v>10753420.557135999</v>
      </c>
      <c r="F31" s="630"/>
      <c r="G31" s="643">
        <v>10753420.557135999</v>
      </c>
      <c r="H31" s="461">
        <v>0</v>
      </c>
      <c r="I31" s="461">
        <v>1265540</v>
      </c>
      <c r="J31" s="468">
        <v>0</v>
      </c>
      <c r="K31" s="476">
        <v>4463146</v>
      </c>
      <c r="L31" s="494">
        <f t="shared" si="31"/>
        <v>4463146</v>
      </c>
      <c r="M31" s="498">
        <f>I31-L31</f>
        <v>-3197606</v>
      </c>
      <c r="N31" s="629"/>
      <c r="O31" s="718">
        <f>4463146-151389+3220832</f>
        <v>7532589</v>
      </c>
      <c r="P31" s="727">
        <v>3220832</v>
      </c>
      <c r="Q31" s="708">
        <v>3220832</v>
      </c>
      <c r="R31" s="708">
        <v>3220832</v>
      </c>
      <c r="S31" s="708">
        <v>3220832</v>
      </c>
      <c r="T31" s="348">
        <v>0</v>
      </c>
      <c r="U31" s="77">
        <f>O31+S31+T31</f>
        <v>10753421</v>
      </c>
      <c r="V31" s="467" t="s">
        <v>754</v>
      </c>
    </row>
    <row r="32" spans="1:23" s="440" customFormat="1" ht="82.5">
      <c r="A32" s="68" t="s">
        <v>261</v>
      </c>
      <c r="B32" s="69" t="s">
        <v>460</v>
      </c>
      <c r="C32" s="70" t="s">
        <v>0</v>
      </c>
      <c r="D32" s="70" t="s">
        <v>5</v>
      </c>
      <c r="E32" s="348">
        <v>509500</v>
      </c>
      <c r="F32" s="630"/>
      <c r="G32" s="643">
        <v>509500</v>
      </c>
      <c r="H32" s="461">
        <v>509500</v>
      </c>
      <c r="I32" s="461">
        <v>509500</v>
      </c>
      <c r="J32" s="468">
        <v>509500</v>
      </c>
      <c r="K32" s="476">
        <v>0</v>
      </c>
      <c r="L32" s="494">
        <f t="shared" si="31"/>
        <v>509500</v>
      </c>
      <c r="M32" s="498">
        <v>0</v>
      </c>
      <c r="N32" s="629"/>
      <c r="O32" s="718">
        <v>509500</v>
      </c>
      <c r="P32" s="727">
        <v>0</v>
      </c>
      <c r="Q32" s="708">
        <v>0</v>
      </c>
      <c r="R32" s="708">
        <v>0</v>
      </c>
      <c r="S32" s="708">
        <v>0</v>
      </c>
      <c r="T32" s="348">
        <v>0</v>
      </c>
      <c r="U32" s="462">
        <f>O32+S32+T32</f>
        <v>509500</v>
      </c>
      <c r="V32" s="467" t="s">
        <v>755</v>
      </c>
    </row>
    <row r="33" spans="1:23" s="96" customFormat="1" ht="75.75" customHeight="1">
      <c r="A33" s="68" t="s">
        <v>290</v>
      </c>
      <c r="B33" s="69" t="s">
        <v>461</v>
      </c>
      <c r="C33" s="70" t="s">
        <v>0</v>
      </c>
      <c r="D33" s="70" t="s">
        <v>5</v>
      </c>
      <c r="E33" s="348">
        <v>6106976</v>
      </c>
      <c r="F33" s="630"/>
      <c r="G33" s="643">
        <v>6106976</v>
      </c>
      <c r="H33" s="348">
        <v>3790500.2999999993</v>
      </c>
      <c r="I33" s="348">
        <v>0</v>
      </c>
      <c r="J33" s="476">
        <v>3790500.2999999993</v>
      </c>
      <c r="K33" s="476">
        <v>0</v>
      </c>
      <c r="L33" s="494">
        <f t="shared" si="31"/>
        <v>3790500.2999999993</v>
      </c>
      <c r="M33" s="498">
        <v>0</v>
      </c>
      <c r="N33" s="629"/>
      <c r="O33" s="718">
        <v>6106976</v>
      </c>
      <c r="P33" s="727">
        <v>0</v>
      </c>
      <c r="Q33" s="708">
        <v>0</v>
      </c>
      <c r="R33" s="708">
        <v>0</v>
      </c>
      <c r="S33" s="708">
        <v>0</v>
      </c>
      <c r="T33" s="348">
        <v>0</v>
      </c>
      <c r="U33" s="462">
        <f>O33+S33+T33</f>
        <v>6106976</v>
      </c>
      <c r="V33" s="467" t="s">
        <v>756</v>
      </c>
    </row>
    <row r="34" spans="1:23" s="500" customFormat="1" ht="75.75" customHeight="1">
      <c r="A34" s="68" t="s">
        <v>23</v>
      </c>
      <c r="B34" s="69" t="s">
        <v>473</v>
      </c>
      <c r="C34" s="70" t="s">
        <v>0</v>
      </c>
      <c r="D34" s="70" t="s">
        <v>5</v>
      </c>
      <c r="E34" s="461">
        <v>0</v>
      </c>
      <c r="F34" s="461"/>
      <c r="G34" s="643"/>
      <c r="H34" s="461">
        <v>0</v>
      </c>
      <c r="I34" s="461">
        <v>0</v>
      </c>
      <c r="J34" s="476">
        <v>0</v>
      </c>
      <c r="K34" s="476">
        <v>2000000</v>
      </c>
      <c r="L34" s="494">
        <f t="shared" si="31"/>
        <v>2000000</v>
      </c>
      <c r="M34" s="650" t="s">
        <v>864</v>
      </c>
      <c r="N34" s="498"/>
      <c r="O34" s="718"/>
      <c r="P34" s="727">
        <v>0</v>
      </c>
      <c r="Q34" s="708">
        <v>0</v>
      </c>
      <c r="R34" s="708">
        <v>0</v>
      </c>
      <c r="S34" s="708">
        <v>0</v>
      </c>
      <c r="T34" s="461">
        <v>0</v>
      </c>
      <c r="U34" s="498">
        <v>0</v>
      </c>
      <c r="V34" s="483"/>
    </row>
    <row r="35" spans="1:23" s="440" customFormat="1" ht="45" customHeight="1">
      <c r="A35" s="68" t="s">
        <v>242</v>
      </c>
      <c r="B35" s="69" t="s">
        <v>535</v>
      </c>
      <c r="C35" s="70" t="s">
        <v>56</v>
      </c>
      <c r="D35" s="70" t="s">
        <v>5</v>
      </c>
      <c r="E35" s="348">
        <v>5418</v>
      </c>
      <c r="F35" s="630"/>
      <c r="G35" s="643">
        <v>5418</v>
      </c>
      <c r="H35" s="793">
        <v>0</v>
      </c>
      <c r="I35" s="793">
        <v>0</v>
      </c>
      <c r="J35" s="786">
        <v>0</v>
      </c>
      <c r="K35" s="786">
        <v>0</v>
      </c>
      <c r="L35" s="787">
        <f t="shared" si="31"/>
        <v>0</v>
      </c>
      <c r="M35" s="792">
        <v>0</v>
      </c>
      <c r="N35" s="792"/>
      <c r="O35" s="789">
        <v>0</v>
      </c>
      <c r="P35" s="748">
        <v>0</v>
      </c>
      <c r="Q35" s="793">
        <v>0</v>
      </c>
      <c r="R35" s="793">
        <v>5418</v>
      </c>
      <c r="S35" s="793">
        <v>5418</v>
      </c>
      <c r="T35" s="348">
        <v>0</v>
      </c>
      <c r="U35" s="462">
        <f>O35+S35+T35</f>
        <v>5418</v>
      </c>
      <c r="V35" s="467" t="s">
        <v>757</v>
      </c>
    </row>
    <row r="36" spans="1:23" s="440" customFormat="1" ht="82.5">
      <c r="A36" s="704" t="s">
        <v>233</v>
      </c>
      <c r="B36" s="69" t="s">
        <v>923</v>
      </c>
      <c r="C36" s="70" t="s">
        <v>56</v>
      </c>
      <c r="D36" s="70" t="s">
        <v>5</v>
      </c>
      <c r="E36" s="81">
        <v>18661895</v>
      </c>
      <c r="F36" s="630"/>
      <c r="G36" s="643">
        <v>43578106</v>
      </c>
      <c r="H36" s="793">
        <v>0</v>
      </c>
      <c r="I36" s="793">
        <v>0</v>
      </c>
      <c r="J36" s="786">
        <v>0</v>
      </c>
      <c r="K36" s="786">
        <v>0</v>
      </c>
      <c r="L36" s="787">
        <f t="shared" si="31"/>
        <v>0</v>
      </c>
      <c r="M36" s="792">
        <v>0</v>
      </c>
      <c r="N36" s="792"/>
      <c r="O36" s="789">
        <v>0</v>
      </c>
      <c r="P36" s="748">
        <v>18661895</v>
      </c>
      <c r="Q36" s="793">
        <v>18661895</v>
      </c>
      <c r="R36" s="793">
        <v>18661895</v>
      </c>
      <c r="S36" s="793">
        <v>18661895</v>
      </c>
      <c r="T36" s="348">
        <v>0</v>
      </c>
      <c r="U36" s="464">
        <f>O36+S36+T36</f>
        <v>18661895</v>
      </c>
      <c r="V36" s="467" t="s">
        <v>758</v>
      </c>
      <c r="W36" s="465"/>
    </row>
    <row r="37" spans="1:23" s="445" customFormat="1" ht="23.25" customHeight="1">
      <c r="A37" s="453" t="s">
        <v>740</v>
      </c>
      <c r="B37" s="454"/>
      <c r="C37" s="454"/>
      <c r="D37" s="455"/>
      <c r="E37" s="433">
        <f>SUM(E38:E39)</f>
        <v>12000000</v>
      </c>
      <c r="F37" s="504">
        <f>maksajumu_merku_neizpilde!AS18</f>
        <v>-1311046.7200000007</v>
      </c>
      <c r="G37" s="641">
        <f>SUM(G38:G39)</f>
        <v>12000000</v>
      </c>
      <c r="H37" s="433">
        <f t="shared" ref="H37:U37" si="33">SUM(H38:H39)</f>
        <v>7999059.0700000003</v>
      </c>
      <c r="I37" s="433">
        <f t="shared" si="33"/>
        <v>11894225.629999999</v>
      </c>
      <c r="J37" s="504">
        <f t="shared" si="33"/>
        <v>0</v>
      </c>
      <c r="K37" s="475">
        <f t="shared" si="33"/>
        <v>12000000</v>
      </c>
      <c r="L37" s="475">
        <f t="shared" si="33"/>
        <v>12000000</v>
      </c>
      <c r="M37" s="504">
        <v>0</v>
      </c>
      <c r="N37" s="504">
        <f>F37+M37</f>
        <v>-1311046.7200000007</v>
      </c>
      <c r="O37" s="716">
        <f t="shared" si="33"/>
        <v>11894225.699999999</v>
      </c>
      <c r="P37" s="725">
        <f t="shared" si="33"/>
        <v>104833</v>
      </c>
      <c r="Q37" s="504">
        <f t="shared" si="33"/>
        <v>104833</v>
      </c>
      <c r="R37" s="504">
        <f t="shared" si="33"/>
        <v>104833</v>
      </c>
      <c r="S37" s="504">
        <f t="shared" si="33"/>
        <v>104833</v>
      </c>
      <c r="T37" s="433">
        <f t="shared" si="33"/>
        <v>0</v>
      </c>
      <c r="U37" s="433">
        <f t="shared" si="33"/>
        <v>11999058.699999999</v>
      </c>
      <c r="V37" s="488"/>
    </row>
    <row r="38" spans="1:23" s="89" customFormat="1" ht="49.5">
      <c r="A38" s="704" t="s">
        <v>240</v>
      </c>
      <c r="B38" s="69" t="s">
        <v>652</v>
      </c>
      <c r="C38" s="70" t="s">
        <v>56</v>
      </c>
      <c r="D38" s="70" t="s">
        <v>170</v>
      </c>
      <c r="E38" s="81">
        <v>8000000</v>
      </c>
      <c r="F38" s="630"/>
      <c r="G38" s="643">
        <v>8000000</v>
      </c>
      <c r="H38" s="461">
        <v>7999059.0700000003</v>
      </c>
      <c r="I38" s="461">
        <v>7999059</v>
      </c>
      <c r="J38" s="476">
        <v>0</v>
      </c>
      <c r="K38" s="476">
        <v>8000000</v>
      </c>
      <c r="L38" s="494">
        <f t="shared" si="31"/>
        <v>8000000</v>
      </c>
      <c r="M38" s="498">
        <f>I38-L38</f>
        <v>-941</v>
      </c>
      <c r="N38" s="629"/>
      <c r="O38" s="718">
        <v>7999059.0700000003</v>
      </c>
      <c r="P38" s="727">
        <v>0</v>
      </c>
      <c r="Q38" s="708">
        <v>0</v>
      </c>
      <c r="R38" s="708">
        <v>0</v>
      </c>
      <c r="S38" s="708">
        <v>0</v>
      </c>
      <c r="T38" s="461">
        <v>0</v>
      </c>
      <c r="U38" s="77">
        <f>O38+S38+T38</f>
        <v>7999059.0700000003</v>
      </c>
      <c r="V38" s="467" t="s">
        <v>760</v>
      </c>
      <c r="W38" s="466"/>
    </row>
    <row r="39" spans="1:23" s="89" customFormat="1" ht="99">
      <c r="A39" s="704" t="s">
        <v>213</v>
      </c>
      <c r="B39" s="69" t="s">
        <v>653</v>
      </c>
      <c r="C39" s="70" t="s">
        <v>56</v>
      </c>
      <c r="D39" s="70" t="s">
        <v>170</v>
      </c>
      <c r="E39" s="81">
        <v>4000000</v>
      </c>
      <c r="F39" s="630"/>
      <c r="G39" s="643">
        <v>4000000</v>
      </c>
      <c r="H39" s="461">
        <v>0</v>
      </c>
      <c r="I39" s="461">
        <v>3895166.63</v>
      </c>
      <c r="J39" s="476">
        <v>0</v>
      </c>
      <c r="K39" s="476">
        <v>4000000</v>
      </c>
      <c r="L39" s="494">
        <f t="shared" si="31"/>
        <v>4000000</v>
      </c>
      <c r="M39" s="498">
        <f>I39-L39</f>
        <v>-104833.37000000011</v>
      </c>
      <c r="N39" s="629"/>
      <c r="O39" s="718">
        <v>3895166.63</v>
      </c>
      <c r="P39" s="737">
        <v>104833</v>
      </c>
      <c r="Q39" s="738">
        <v>104833</v>
      </c>
      <c r="R39" s="738">
        <v>104833</v>
      </c>
      <c r="S39" s="739">
        <v>104833</v>
      </c>
      <c r="T39" s="461">
        <v>0</v>
      </c>
      <c r="U39" s="462">
        <f>O39+S39+T39</f>
        <v>3999999.63</v>
      </c>
      <c r="V39" s="467" t="s">
        <v>761</v>
      </c>
    </row>
    <row r="40" spans="1:23" s="445" customFormat="1" ht="23.25" customHeight="1">
      <c r="A40" s="453" t="s">
        <v>738</v>
      </c>
      <c r="B40" s="454"/>
      <c r="C40" s="454"/>
      <c r="D40" s="455"/>
      <c r="E40" s="433">
        <f>SUM(E41:E46)</f>
        <v>32591616.413770001</v>
      </c>
      <c r="F40" s="504">
        <v>0</v>
      </c>
      <c r="G40" s="641">
        <f>SUM(G41:G46)</f>
        <v>32715710.713770002</v>
      </c>
      <c r="H40" s="433">
        <f t="shared" ref="H40:U40" si="34">SUM(H41:H46)</f>
        <v>26249639.04377</v>
      </c>
      <c r="I40" s="433">
        <f t="shared" si="34"/>
        <v>26574638.74377</v>
      </c>
      <c r="J40" s="504">
        <f t="shared" si="34"/>
        <v>23118666.659999996</v>
      </c>
      <c r="K40" s="475">
        <f t="shared" si="34"/>
        <v>3125171</v>
      </c>
      <c r="L40" s="475">
        <f t="shared" si="34"/>
        <v>26243837.659999996</v>
      </c>
      <c r="M40" s="504">
        <v>0</v>
      </c>
      <c r="N40" s="504">
        <f>F40+M40</f>
        <v>0</v>
      </c>
      <c r="O40" s="716">
        <f t="shared" si="34"/>
        <v>27012647.74377</v>
      </c>
      <c r="P40" s="725">
        <f t="shared" si="34"/>
        <v>5344600</v>
      </c>
      <c r="Q40" s="504">
        <f t="shared" si="34"/>
        <v>5344600</v>
      </c>
      <c r="R40" s="504">
        <f t="shared" si="34"/>
        <v>5344600</v>
      </c>
      <c r="S40" s="504">
        <f t="shared" si="34"/>
        <v>5344600</v>
      </c>
      <c r="T40" s="433">
        <f t="shared" si="34"/>
        <v>0</v>
      </c>
      <c r="U40" s="433">
        <f t="shared" si="34"/>
        <v>32357247.74377</v>
      </c>
      <c r="V40" s="488"/>
    </row>
    <row r="41" spans="1:23" s="89" customFormat="1" ht="181.5">
      <c r="A41" s="68" t="s">
        <v>19</v>
      </c>
      <c r="B41" s="69" t="s">
        <v>469</v>
      </c>
      <c r="C41" s="70" t="s">
        <v>0</v>
      </c>
      <c r="D41" s="70" t="s">
        <v>156</v>
      </c>
      <c r="E41" s="461">
        <v>1645717</v>
      </c>
      <c r="F41" s="630"/>
      <c r="G41" s="643">
        <v>1645717</v>
      </c>
      <c r="H41" s="461">
        <v>1000000</v>
      </c>
      <c r="I41" s="461">
        <v>1000000</v>
      </c>
      <c r="J41" s="476">
        <v>0</v>
      </c>
      <c r="K41" s="476">
        <v>1000000</v>
      </c>
      <c r="L41" s="494">
        <f t="shared" si="31"/>
        <v>1000000</v>
      </c>
      <c r="M41" s="498">
        <v>0</v>
      </c>
      <c r="N41" s="629"/>
      <c r="O41" s="718">
        <v>1000000</v>
      </c>
      <c r="P41" s="742">
        <v>622893</v>
      </c>
      <c r="Q41" s="741">
        <v>622893</v>
      </c>
      <c r="R41" s="741">
        <v>622893</v>
      </c>
      <c r="S41" s="708">
        <v>622893</v>
      </c>
      <c r="T41" s="348">
        <v>0</v>
      </c>
      <c r="U41" s="77">
        <f t="shared" ref="U41:U46" si="35">O41+S41+T41</f>
        <v>1622893</v>
      </c>
      <c r="V41" s="482" t="s">
        <v>764</v>
      </c>
    </row>
    <row r="42" spans="1:23" s="89" customFormat="1" ht="198" customHeight="1">
      <c r="A42" s="68" t="s">
        <v>238</v>
      </c>
      <c r="B42" s="69" t="s">
        <v>484</v>
      </c>
      <c r="C42" s="70" t="s">
        <v>0</v>
      </c>
      <c r="D42" s="70" t="s">
        <v>156</v>
      </c>
      <c r="E42" s="461">
        <v>8238006.8137699999</v>
      </c>
      <c r="F42" s="630"/>
      <c r="G42" s="643">
        <v>8238006.8137699999</v>
      </c>
      <c r="H42" s="348">
        <v>7571088.8137699999</v>
      </c>
      <c r="I42" s="461">
        <v>7571088.8137699999</v>
      </c>
      <c r="J42" s="476">
        <v>7571089</v>
      </c>
      <c r="K42" s="476">
        <v>0</v>
      </c>
      <c r="L42" s="494">
        <f t="shared" si="31"/>
        <v>7571089</v>
      </c>
      <c r="M42" s="498">
        <v>0</v>
      </c>
      <c r="N42" s="629"/>
      <c r="O42" s="718">
        <v>7571088.8137699999</v>
      </c>
      <c r="P42" s="744">
        <v>666918</v>
      </c>
      <c r="Q42" s="743">
        <v>666918</v>
      </c>
      <c r="R42" s="743">
        <v>666918</v>
      </c>
      <c r="S42" s="708">
        <v>666918</v>
      </c>
      <c r="T42" s="348">
        <v>0</v>
      </c>
      <c r="U42" s="462">
        <f t="shared" si="35"/>
        <v>8238006.8137699999</v>
      </c>
      <c r="V42" s="482" t="s">
        <v>763</v>
      </c>
    </row>
    <row r="43" spans="1:23" s="89" customFormat="1" ht="280.5">
      <c r="A43" s="68" t="s">
        <v>268</v>
      </c>
      <c r="B43" s="69" t="s">
        <v>493</v>
      </c>
      <c r="C43" s="70" t="s">
        <v>0</v>
      </c>
      <c r="D43" s="70" t="s">
        <v>156</v>
      </c>
      <c r="E43" s="461">
        <v>18944224</v>
      </c>
      <c r="F43" s="630"/>
      <c r="G43" s="643">
        <v>18944224</v>
      </c>
      <c r="H43" s="461">
        <v>15553378.93</v>
      </c>
      <c r="I43" s="91">
        <v>15553378.93</v>
      </c>
      <c r="J43" s="469">
        <v>15547577.659999996</v>
      </c>
      <c r="K43" s="476">
        <v>0</v>
      </c>
      <c r="L43" s="494">
        <f t="shared" si="31"/>
        <v>15547577.659999996</v>
      </c>
      <c r="M43" s="498">
        <f>I43-L43</f>
        <v>5801.2700000032783</v>
      </c>
      <c r="N43" s="629"/>
      <c r="O43" s="719">
        <v>15553378.93</v>
      </c>
      <c r="P43" s="746">
        <v>3181575</v>
      </c>
      <c r="Q43" s="745">
        <v>3181575</v>
      </c>
      <c r="R43" s="745">
        <v>3181575</v>
      </c>
      <c r="S43" s="91">
        <v>3181575</v>
      </c>
      <c r="T43" s="348">
        <v>0</v>
      </c>
      <c r="U43" s="462">
        <f t="shared" si="35"/>
        <v>18734953.93</v>
      </c>
      <c r="V43" s="482" t="s">
        <v>765</v>
      </c>
    </row>
    <row r="44" spans="1:23" s="89" customFormat="1" ht="99">
      <c r="A44" s="68" t="s">
        <v>258</v>
      </c>
      <c r="B44" s="69" t="s">
        <v>505</v>
      </c>
      <c r="C44" s="70" t="s">
        <v>0</v>
      </c>
      <c r="D44" s="70" t="s">
        <v>156</v>
      </c>
      <c r="E44" s="461">
        <v>1519461</v>
      </c>
      <c r="F44" s="630"/>
      <c r="G44" s="643">
        <v>1643555.3</v>
      </c>
      <c r="H44" s="348">
        <v>1194461.0000000016</v>
      </c>
      <c r="I44" s="461">
        <v>1519461</v>
      </c>
      <c r="J44" s="468">
        <v>0</v>
      </c>
      <c r="K44" s="476">
        <v>1194461</v>
      </c>
      <c r="L44" s="494">
        <f t="shared" si="31"/>
        <v>1194461</v>
      </c>
      <c r="M44" s="498">
        <f>I44-L44</f>
        <v>325000</v>
      </c>
      <c r="N44" s="629"/>
      <c r="O44" s="719">
        <v>1519461</v>
      </c>
      <c r="P44" s="728">
        <v>0</v>
      </c>
      <c r="Q44" s="91">
        <v>0</v>
      </c>
      <c r="R44" s="91">
        <v>0</v>
      </c>
      <c r="S44" s="91">
        <v>0</v>
      </c>
      <c r="T44" s="348">
        <v>0</v>
      </c>
      <c r="U44" s="462">
        <f t="shared" si="35"/>
        <v>1519461</v>
      </c>
      <c r="V44" s="467" t="s">
        <v>752</v>
      </c>
    </row>
    <row r="45" spans="1:23" s="89" customFormat="1" ht="227.25" customHeight="1">
      <c r="A45" s="68" t="s">
        <v>239</v>
      </c>
      <c r="B45" s="69" t="s">
        <v>506</v>
      </c>
      <c r="C45" s="70" t="s">
        <v>0</v>
      </c>
      <c r="D45" s="70" t="s">
        <v>156</v>
      </c>
      <c r="E45" s="348">
        <v>1806198.6</v>
      </c>
      <c r="F45" s="630"/>
      <c r="G45" s="643">
        <v>1806198.6</v>
      </c>
      <c r="H45" s="348">
        <v>930710.3000000004</v>
      </c>
      <c r="I45" s="461">
        <v>930710</v>
      </c>
      <c r="J45" s="468">
        <v>0</v>
      </c>
      <c r="K45" s="476">
        <v>930710</v>
      </c>
      <c r="L45" s="494">
        <f t="shared" si="31"/>
        <v>930710</v>
      </c>
      <c r="M45" s="498">
        <f>I45-L45</f>
        <v>0</v>
      </c>
      <c r="N45" s="629"/>
      <c r="O45" s="718">
        <v>930710</v>
      </c>
      <c r="P45" s="748">
        <v>873214</v>
      </c>
      <c r="Q45" s="747">
        <v>873214</v>
      </c>
      <c r="R45" s="747">
        <v>873214</v>
      </c>
      <c r="S45" s="708">
        <v>873214</v>
      </c>
      <c r="T45" s="348">
        <v>0</v>
      </c>
      <c r="U45" s="462">
        <f t="shared" si="35"/>
        <v>1803924</v>
      </c>
      <c r="V45" s="482" t="s">
        <v>767</v>
      </c>
    </row>
    <row r="46" spans="1:23" s="89" customFormat="1" ht="99">
      <c r="A46" s="704" t="s">
        <v>234</v>
      </c>
      <c r="B46" s="69" t="s">
        <v>743</v>
      </c>
      <c r="C46" s="70" t="s">
        <v>56</v>
      </c>
      <c r="D46" s="70" t="s">
        <v>156</v>
      </c>
      <c r="E46" s="81">
        <v>438009</v>
      </c>
      <c r="F46" s="461"/>
      <c r="G46" s="461">
        <v>438009</v>
      </c>
      <c r="H46" s="461">
        <v>0</v>
      </c>
      <c r="I46" s="461">
        <v>0</v>
      </c>
      <c r="J46" s="461">
        <v>0</v>
      </c>
      <c r="K46" s="461">
        <v>0</v>
      </c>
      <c r="L46" s="498">
        <f t="shared" si="31"/>
        <v>0</v>
      </c>
      <c r="M46" s="498">
        <v>0</v>
      </c>
      <c r="N46" s="498"/>
      <c r="O46" s="718">
        <v>438009</v>
      </c>
      <c r="P46" s="727">
        <v>0</v>
      </c>
      <c r="Q46" s="708">
        <v>0</v>
      </c>
      <c r="R46" s="708">
        <v>0</v>
      </c>
      <c r="S46" s="708">
        <v>0</v>
      </c>
      <c r="T46" s="461">
        <v>0</v>
      </c>
      <c r="U46" s="498">
        <f t="shared" si="35"/>
        <v>438009</v>
      </c>
      <c r="V46" s="482" t="s">
        <v>753</v>
      </c>
      <c r="W46" s="446"/>
    </row>
    <row r="47" spans="1:23" s="445" customFormat="1" ht="23.25" customHeight="1">
      <c r="A47" s="453" t="s">
        <v>736</v>
      </c>
      <c r="B47" s="454"/>
      <c r="C47" s="454"/>
      <c r="D47" s="455"/>
      <c r="E47" s="433">
        <f>SUM(E48:E51)</f>
        <v>52382961</v>
      </c>
      <c r="F47" s="504">
        <v>0</v>
      </c>
      <c r="G47" s="641">
        <f>SUM(G48:G51)</f>
        <v>52382961</v>
      </c>
      <c r="H47" s="504">
        <f>SUM(H48:H51)</f>
        <v>43602644.100000009</v>
      </c>
      <c r="I47" s="504">
        <f>SUM(I48:I51)</f>
        <v>50289770</v>
      </c>
      <c r="J47" s="504">
        <f t="shared" ref="J47:U47" si="36">SUM(J48:J50)</f>
        <v>50335835</v>
      </c>
      <c r="K47" s="475">
        <f t="shared" si="36"/>
        <v>6687126</v>
      </c>
      <c r="L47" s="504">
        <f>SUM(L48:L51)</f>
        <v>57022961</v>
      </c>
      <c r="M47" s="504">
        <f>SUM(M48:M51)</f>
        <v>-6733191</v>
      </c>
      <c r="N47" s="504">
        <f>F47+M47</f>
        <v>-6733191</v>
      </c>
      <c r="O47" s="716">
        <f>SUM(O48:O51)</f>
        <v>52853162</v>
      </c>
      <c r="P47" s="725">
        <f>SUM(P48:P51)</f>
        <v>0</v>
      </c>
      <c r="Q47" s="504">
        <f>SUM(Q48:Q51)</f>
        <v>0</v>
      </c>
      <c r="R47" s="504">
        <f>SUM(R48:R51)</f>
        <v>0</v>
      </c>
      <c r="S47" s="504">
        <f t="shared" si="36"/>
        <v>0</v>
      </c>
      <c r="T47" s="433">
        <f t="shared" si="36"/>
        <v>0</v>
      </c>
      <c r="U47" s="433">
        <f t="shared" si="36"/>
        <v>51974924</v>
      </c>
      <c r="V47" s="488"/>
    </row>
    <row r="48" spans="1:23" s="440" customFormat="1" ht="270" customHeight="1">
      <c r="A48" s="704" t="s">
        <v>304</v>
      </c>
      <c r="B48" s="69" t="s">
        <v>611</v>
      </c>
      <c r="C48" s="70" t="s">
        <v>56</v>
      </c>
      <c r="D48" s="70" t="s">
        <v>168</v>
      </c>
      <c r="E48" s="81">
        <v>20616189</v>
      </c>
      <c r="F48" s="630"/>
      <c r="G48" s="643">
        <v>21421523</v>
      </c>
      <c r="H48" s="348">
        <v>21035592</v>
      </c>
      <c r="I48" s="348">
        <v>21035592</v>
      </c>
      <c r="J48" s="476">
        <v>21978843</v>
      </c>
      <c r="K48" s="476">
        <v>0</v>
      </c>
      <c r="L48" s="494">
        <f t="shared" si="31"/>
        <v>21978843</v>
      </c>
      <c r="M48" s="498">
        <f>I48-L48</f>
        <v>-943251</v>
      </c>
      <c r="N48" s="629"/>
      <c r="O48" s="718">
        <v>21035592</v>
      </c>
      <c r="P48" s="727"/>
      <c r="Q48" s="708"/>
      <c r="R48" s="708"/>
      <c r="S48" s="708">
        <v>0</v>
      </c>
      <c r="T48" s="348">
        <v>0</v>
      </c>
      <c r="U48" s="77">
        <f>O48+S48+T48</f>
        <v>21035592</v>
      </c>
      <c r="V48" s="467" t="s">
        <v>870</v>
      </c>
      <c r="W48" s="465"/>
    </row>
    <row r="49" spans="1:23" s="440" customFormat="1" ht="33">
      <c r="A49" s="704" t="s">
        <v>100</v>
      </c>
      <c r="B49" s="69" t="s">
        <v>614</v>
      </c>
      <c r="C49" s="70" t="s">
        <v>56</v>
      </c>
      <c r="D49" s="70" t="s">
        <v>168</v>
      </c>
      <c r="E49" s="81">
        <v>679237</v>
      </c>
      <c r="F49" s="630"/>
      <c r="G49" s="645">
        <v>557320</v>
      </c>
      <c r="H49" s="461">
        <v>0</v>
      </c>
      <c r="I49" s="461">
        <v>0</v>
      </c>
      <c r="J49" s="476">
        <v>0</v>
      </c>
      <c r="K49" s="476"/>
      <c r="L49" s="494">
        <f t="shared" si="31"/>
        <v>0</v>
      </c>
      <c r="M49" s="498">
        <v>0</v>
      </c>
      <c r="N49" s="629"/>
      <c r="O49" s="718">
        <v>679237</v>
      </c>
      <c r="P49" s="727"/>
      <c r="Q49" s="708"/>
      <c r="R49" s="708"/>
      <c r="S49" s="708">
        <v>0</v>
      </c>
      <c r="T49" s="461">
        <v>0</v>
      </c>
      <c r="U49" s="498">
        <f>O49+S49+T49</f>
        <v>679237</v>
      </c>
      <c r="V49" s="467" t="s">
        <v>747</v>
      </c>
      <c r="W49" s="465"/>
    </row>
    <row r="50" spans="1:23" s="89" customFormat="1" ht="82.5">
      <c r="A50" s="704" t="s">
        <v>226</v>
      </c>
      <c r="B50" s="69" t="s">
        <v>628</v>
      </c>
      <c r="C50" s="70" t="s">
        <v>171</v>
      </c>
      <c r="D50" s="70" t="s">
        <v>168</v>
      </c>
      <c r="E50" s="81">
        <v>30209297</v>
      </c>
      <c r="F50" s="630"/>
      <c r="G50" s="644">
        <v>30404118</v>
      </c>
      <c r="H50" s="461">
        <v>22567052.100000005</v>
      </c>
      <c r="I50" s="461">
        <v>29254178</v>
      </c>
      <c r="J50" s="476">
        <v>28356992</v>
      </c>
      <c r="K50" s="476">
        <v>6687126</v>
      </c>
      <c r="L50" s="494">
        <f>J50+K50</f>
        <v>35044118</v>
      </c>
      <c r="M50" s="498">
        <f>I50-L50</f>
        <v>-5789940</v>
      </c>
      <c r="N50" s="629"/>
      <c r="O50" s="718">
        <v>30260095</v>
      </c>
      <c r="P50" s="727"/>
      <c r="Q50" s="708"/>
      <c r="R50" s="708"/>
      <c r="S50" s="708">
        <v>0</v>
      </c>
      <c r="T50" s="461">
        <v>0</v>
      </c>
      <c r="U50" s="498">
        <f>O50+S50+T50</f>
        <v>30260095</v>
      </c>
      <c r="V50" s="684" t="s">
        <v>748</v>
      </c>
    </row>
    <row r="51" spans="1:23" s="89" customFormat="1" ht="49.5">
      <c r="A51" s="705" t="s">
        <v>177</v>
      </c>
      <c r="B51" s="69" t="s">
        <v>630</v>
      </c>
      <c r="C51" s="70" t="s">
        <v>171</v>
      </c>
      <c r="D51" s="70" t="s">
        <v>168</v>
      </c>
      <c r="E51" s="81">
        <v>878238</v>
      </c>
      <c r="F51" s="630"/>
      <c r="G51" s="644"/>
      <c r="H51" s="461"/>
      <c r="I51" s="461"/>
      <c r="J51" s="476"/>
      <c r="K51" s="476"/>
      <c r="L51" s="494"/>
      <c r="M51" s="498"/>
      <c r="N51" s="629"/>
      <c r="O51" s="718">
        <v>878238</v>
      </c>
      <c r="P51" s="727"/>
      <c r="Q51" s="708"/>
      <c r="R51" s="708"/>
      <c r="S51" s="708"/>
      <c r="T51" s="461"/>
      <c r="U51" s="498"/>
      <c r="V51" s="684"/>
    </row>
    <row r="52" spans="1:23" s="89" customFormat="1" ht="23.25" customHeight="1">
      <c r="A52" s="811" t="s">
        <v>739</v>
      </c>
      <c r="B52" s="812"/>
      <c r="C52" s="812"/>
      <c r="D52" s="813"/>
      <c r="E52" s="433">
        <f>SUM(E53:E54)</f>
        <v>11800000</v>
      </c>
      <c r="F52" s="504">
        <f>maksajumu_merku_neizpilde!AS12</f>
        <v>-165779.07999999938</v>
      </c>
      <c r="G52" s="641">
        <f t="shared" ref="G52:L52" si="37">SUM(G53:G54)</f>
        <v>11800000</v>
      </c>
      <c r="H52" s="504">
        <f t="shared" si="37"/>
        <v>11800000</v>
      </c>
      <c r="I52" s="504">
        <f t="shared" si="37"/>
        <v>11800000</v>
      </c>
      <c r="J52" s="504">
        <f t="shared" si="37"/>
        <v>0</v>
      </c>
      <c r="K52" s="475">
        <f t="shared" si="37"/>
        <v>11200000</v>
      </c>
      <c r="L52" s="475">
        <f t="shared" si="37"/>
        <v>11200000</v>
      </c>
      <c r="M52" s="504"/>
      <c r="N52" s="504">
        <f>F52+M52</f>
        <v>-165779.07999999938</v>
      </c>
      <c r="O52" s="716">
        <f t="shared" ref="O52:U52" si="38">SUM(O53:O54)</f>
        <v>11800000</v>
      </c>
      <c r="P52" s="725">
        <f t="shared" si="38"/>
        <v>0</v>
      </c>
      <c r="Q52" s="504">
        <f t="shared" si="38"/>
        <v>0</v>
      </c>
      <c r="R52" s="504">
        <f t="shared" si="38"/>
        <v>0</v>
      </c>
      <c r="S52" s="504">
        <f t="shared" si="38"/>
        <v>0</v>
      </c>
      <c r="T52" s="504">
        <f t="shared" si="38"/>
        <v>0</v>
      </c>
      <c r="U52" s="504">
        <f t="shared" si="38"/>
        <v>11800000</v>
      </c>
      <c r="V52" s="492"/>
    </row>
    <row r="53" spans="1:23" s="89" customFormat="1" ht="82.5" customHeight="1">
      <c r="A53" s="68" t="s">
        <v>40</v>
      </c>
      <c r="B53" s="69" t="s">
        <v>501</v>
      </c>
      <c r="C53" s="70" t="s">
        <v>0</v>
      </c>
      <c r="D53" s="70" t="s">
        <v>685</v>
      </c>
      <c r="E53" s="348">
        <v>1200000</v>
      </c>
      <c r="F53" s="630"/>
      <c r="G53" s="643">
        <v>1200000</v>
      </c>
      <c r="H53" s="348">
        <v>1200000</v>
      </c>
      <c r="I53" s="461">
        <v>1200000</v>
      </c>
      <c r="J53" s="476">
        <v>0</v>
      </c>
      <c r="K53" s="476">
        <v>600000</v>
      </c>
      <c r="L53" s="494">
        <f>J53+K53</f>
        <v>600000</v>
      </c>
      <c r="M53" s="498">
        <f>I53-L53</f>
        <v>600000</v>
      </c>
      <c r="N53" s="629"/>
      <c r="O53" s="718">
        <v>1200000</v>
      </c>
      <c r="P53" s="727"/>
      <c r="Q53" s="708"/>
      <c r="R53" s="708"/>
      <c r="S53" s="708">
        <v>0</v>
      </c>
      <c r="T53" s="348">
        <v>0</v>
      </c>
      <c r="U53" s="77">
        <f>O53+S53+T53</f>
        <v>1200000</v>
      </c>
      <c r="V53" s="489" t="s">
        <v>766</v>
      </c>
    </row>
    <row r="54" spans="1:23" s="89" customFormat="1" ht="49.5" customHeight="1">
      <c r="A54" s="704" t="s">
        <v>209</v>
      </c>
      <c r="B54" s="69" t="s">
        <v>604</v>
      </c>
      <c r="C54" s="70" t="s">
        <v>56</v>
      </c>
      <c r="D54" s="70" t="s">
        <v>685</v>
      </c>
      <c r="E54" s="81">
        <v>10600000</v>
      </c>
      <c r="F54" s="630"/>
      <c r="G54" s="643">
        <v>10600000</v>
      </c>
      <c r="H54" s="348">
        <v>10600000</v>
      </c>
      <c r="I54" s="348">
        <v>10600000</v>
      </c>
      <c r="J54" s="476">
        <v>0</v>
      </c>
      <c r="K54" s="476">
        <v>10600000</v>
      </c>
      <c r="L54" s="494">
        <f>J54+K54</f>
        <v>10600000</v>
      </c>
      <c r="M54" s="498">
        <f>I54-L54</f>
        <v>0</v>
      </c>
      <c r="N54" s="629"/>
      <c r="O54" s="718">
        <v>10600000</v>
      </c>
      <c r="P54" s="727"/>
      <c r="Q54" s="708"/>
      <c r="R54" s="708"/>
      <c r="S54" s="708">
        <v>0</v>
      </c>
      <c r="T54" s="82"/>
      <c r="U54" s="462">
        <f>O54+S54+T54</f>
        <v>10600000</v>
      </c>
      <c r="V54" s="489"/>
    </row>
    <row r="55" spans="1:23" s="89" customFormat="1" ht="23.25" customHeight="1">
      <c r="A55" s="453" t="s">
        <v>735</v>
      </c>
      <c r="B55" s="454"/>
      <c r="C55" s="454"/>
      <c r="D55" s="455"/>
      <c r="E55" s="433">
        <f>SUM(E56:E64)</f>
        <v>82719293</v>
      </c>
      <c r="F55" s="504">
        <f>maksajumu_merku_neizpilde!AS27</f>
        <v>-20149793.224285275</v>
      </c>
      <c r="G55" s="641">
        <f>SUM(G56:G64)</f>
        <v>82751761</v>
      </c>
      <c r="H55" s="433">
        <f t="shared" ref="H55:U55" si="39">SUM(H56:H64)</f>
        <v>25600428.060000002</v>
      </c>
      <c r="I55" s="433">
        <f t="shared" si="39"/>
        <v>43658061</v>
      </c>
      <c r="J55" s="504">
        <f t="shared" si="39"/>
        <v>4721148.111111111</v>
      </c>
      <c r="K55" s="475">
        <f t="shared" si="39"/>
        <v>42940045.700000003</v>
      </c>
      <c r="L55" s="475">
        <f t="shared" si="39"/>
        <v>47661193.811111115</v>
      </c>
      <c r="M55" s="504">
        <f>M59</f>
        <v>-500000</v>
      </c>
      <c r="N55" s="504">
        <f>F55+M55</f>
        <v>-20649793.224285275</v>
      </c>
      <c r="O55" s="716">
        <f t="shared" si="39"/>
        <v>56950917.980000004</v>
      </c>
      <c r="P55" s="794">
        <v>18412355.02</v>
      </c>
      <c r="Q55" s="504">
        <f t="shared" si="39"/>
        <v>25638375</v>
      </c>
      <c r="R55" s="504">
        <f t="shared" si="39"/>
        <v>25768375</v>
      </c>
      <c r="S55" s="504">
        <f t="shared" si="39"/>
        <v>25768375</v>
      </c>
      <c r="T55" s="433">
        <f t="shared" si="39"/>
        <v>0</v>
      </c>
      <c r="U55" s="433">
        <f t="shared" si="39"/>
        <v>82719292.980000004</v>
      </c>
      <c r="V55" s="488"/>
    </row>
    <row r="56" spans="1:23" s="89" customFormat="1" ht="82.5">
      <c r="A56" s="704" t="s">
        <v>262</v>
      </c>
      <c r="B56" s="69" t="s">
        <v>598</v>
      </c>
      <c r="C56" s="70" t="s">
        <v>56</v>
      </c>
      <c r="D56" s="70" t="s">
        <v>687</v>
      </c>
      <c r="E56" s="756">
        <v>9171643</v>
      </c>
      <c r="F56" s="756"/>
      <c r="G56" s="759">
        <v>11220767</v>
      </c>
      <c r="H56" s="756">
        <v>6951310.5800000001</v>
      </c>
      <c r="I56" s="756">
        <v>6903550</v>
      </c>
      <c r="J56" s="757">
        <v>1133333</v>
      </c>
      <c r="K56" s="757">
        <v>6903550</v>
      </c>
      <c r="L56" s="758">
        <v>8036883</v>
      </c>
      <c r="M56" s="755">
        <v>-1133333</v>
      </c>
      <c r="N56" s="755"/>
      <c r="O56" s="756">
        <v>7740855</v>
      </c>
      <c r="P56" s="790">
        <v>1430788</v>
      </c>
      <c r="Q56" s="790">
        <v>1430788</v>
      </c>
      <c r="R56" s="790">
        <v>1430788</v>
      </c>
      <c r="S56" s="790">
        <v>1430788</v>
      </c>
      <c r="T56" s="461">
        <v>0</v>
      </c>
      <c r="U56" s="77">
        <f>O56+S56+T56</f>
        <v>9171643</v>
      </c>
      <c r="V56" s="489"/>
    </row>
    <row r="57" spans="1:23" s="89" customFormat="1" ht="49.5">
      <c r="A57" s="704" t="s">
        <v>208</v>
      </c>
      <c r="B57" s="69" t="s">
        <v>619</v>
      </c>
      <c r="C57" s="70" t="s">
        <v>56</v>
      </c>
      <c r="D57" s="70" t="s">
        <v>687</v>
      </c>
      <c r="E57" s="762">
        <v>9670591</v>
      </c>
      <c r="F57" s="762"/>
      <c r="G57" s="765">
        <v>11806612</v>
      </c>
      <c r="H57" s="762">
        <v>2240723.4700000002</v>
      </c>
      <c r="I57" s="762">
        <v>7850429</v>
      </c>
      <c r="J57" s="763">
        <v>2199024</v>
      </c>
      <c r="K57" s="763">
        <v>6767562</v>
      </c>
      <c r="L57" s="764">
        <v>8966586</v>
      </c>
      <c r="M57" s="761">
        <v>-1116157</v>
      </c>
      <c r="N57" s="761"/>
      <c r="O57" s="766">
        <v>9670591</v>
      </c>
      <c r="P57" s="727">
        <v>0</v>
      </c>
      <c r="Q57" s="708">
        <v>0</v>
      </c>
      <c r="R57" s="708">
        <v>0</v>
      </c>
      <c r="S57" s="708">
        <v>0</v>
      </c>
      <c r="T57" s="461">
        <v>0</v>
      </c>
      <c r="U57" s="462">
        <f>O57+S57+T57</f>
        <v>9670591</v>
      </c>
      <c r="V57" s="467" t="s">
        <v>749</v>
      </c>
    </row>
    <row r="58" spans="1:23" s="440" customFormat="1" ht="66">
      <c r="A58" s="704" t="s">
        <v>311</v>
      </c>
      <c r="B58" s="69" t="s">
        <v>675</v>
      </c>
      <c r="C58" s="70" t="s">
        <v>56</v>
      </c>
      <c r="D58" s="70" t="s">
        <v>687</v>
      </c>
      <c r="E58" s="768">
        <v>29935543</v>
      </c>
      <c r="F58" s="768"/>
      <c r="G58" s="769">
        <v>29935543</v>
      </c>
      <c r="H58" s="768">
        <v>10921637.540000003</v>
      </c>
      <c r="I58" s="768">
        <v>13976415</v>
      </c>
      <c r="J58" s="768">
        <v>888791.11111111112</v>
      </c>
      <c r="K58" s="768">
        <v>13976415</v>
      </c>
      <c r="L58" s="767">
        <v>14865206.111111112</v>
      </c>
      <c r="M58" s="770" t="s">
        <v>864</v>
      </c>
      <c r="N58" s="767"/>
      <c r="O58" s="771">
        <v>21505552.98</v>
      </c>
      <c r="P58" s="740">
        <v>4179990.0199999996</v>
      </c>
      <c r="Q58" s="791">
        <v>8429990</v>
      </c>
      <c r="R58" s="791">
        <v>8429990</v>
      </c>
      <c r="S58" s="791">
        <v>8429990</v>
      </c>
      <c r="T58" s="791">
        <v>0</v>
      </c>
      <c r="U58" s="462">
        <f>O58+S58+T58</f>
        <v>29935542.98</v>
      </c>
      <c r="V58" s="489"/>
    </row>
    <row r="59" spans="1:23" s="440" customFormat="1" ht="49.5">
      <c r="A59" s="704" t="s">
        <v>140</v>
      </c>
      <c r="B59" s="69" t="s">
        <v>678</v>
      </c>
      <c r="C59" s="70" t="s">
        <v>56</v>
      </c>
      <c r="D59" s="70" t="s">
        <v>687</v>
      </c>
      <c r="E59" s="773">
        <v>20852020</v>
      </c>
      <c r="F59" s="773"/>
      <c r="G59" s="776">
        <v>17876000</v>
      </c>
      <c r="H59" s="773">
        <v>5486756.4699999997</v>
      </c>
      <c r="I59" s="773">
        <v>14927667</v>
      </c>
      <c r="J59" s="774">
        <v>500000</v>
      </c>
      <c r="K59" s="774">
        <v>14927667</v>
      </c>
      <c r="L59" s="775">
        <v>15427667</v>
      </c>
      <c r="M59" s="772">
        <v>-500000</v>
      </c>
      <c r="N59" s="772"/>
      <c r="O59" s="777">
        <v>17876000</v>
      </c>
      <c r="P59" s="740">
        <v>0</v>
      </c>
      <c r="Q59" s="793">
        <v>2976020</v>
      </c>
      <c r="R59" s="793">
        <v>2976020</v>
      </c>
      <c r="S59" s="793">
        <v>2976020</v>
      </c>
      <c r="T59" s="461">
        <v>0</v>
      </c>
      <c r="U59" s="462">
        <f>O59+S59+T59</f>
        <v>20852020</v>
      </c>
      <c r="V59" s="489"/>
    </row>
    <row r="60" spans="1:23" s="440" customFormat="1" ht="90" customHeight="1">
      <c r="A60" s="704" t="s">
        <v>308</v>
      </c>
      <c r="B60" s="69" t="s">
        <v>638</v>
      </c>
      <c r="C60" s="70" t="s">
        <v>56</v>
      </c>
      <c r="D60" s="70" t="s">
        <v>687</v>
      </c>
      <c r="E60" s="779">
        <v>157919</v>
      </c>
      <c r="F60" s="779"/>
      <c r="G60" s="782"/>
      <c r="H60" s="779">
        <v>0</v>
      </c>
      <c r="I60" s="779">
        <v>0</v>
      </c>
      <c r="J60" s="780"/>
      <c r="K60" s="780"/>
      <c r="L60" s="781"/>
      <c r="M60" s="778"/>
      <c r="N60" s="778"/>
      <c r="O60" s="783">
        <v>157919</v>
      </c>
      <c r="P60" s="727">
        <v>0</v>
      </c>
      <c r="Q60" s="708">
        <v>0</v>
      </c>
      <c r="R60" s="708">
        <v>0</v>
      </c>
      <c r="S60" s="708">
        <v>0</v>
      </c>
      <c r="T60" s="461">
        <v>0</v>
      </c>
      <c r="U60" s="792">
        <f>O60+S60+T60</f>
        <v>157919</v>
      </c>
      <c r="V60" s="489"/>
    </row>
    <row r="61" spans="1:23" s="440" customFormat="1" ht="43.5" customHeight="1">
      <c r="A61" s="704" t="s">
        <v>118</v>
      </c>
      <c r="B61" s="69" t="s">
        <v>640</v>
      </c>
      <c r="C61" s="70" t="s">
        <v>56</v>
      </c>
      <c r="D61" s="70" t="s">
        <v>687</v>
      </c>
      <c r="E61" s="785">
        <v>9084096</v>
      </c>
      <c r="F61" s="785"/>
      <c r="G61" s="788"/>
      <c r="H61" s="785">
        <v>0</v>
      </c>
      <c r="I61" s="785">
        <v>0</v>
      </c>
      <c r="J61" s="786"/>
      <c r="K61" s="786"/>
      <c r="L61" s="787"/>
      <c r="M61" s="784"/>
      <c r="N61" s="784"/>
      <c r="O61" s="789">
        <v>0</v>
      </c>
      <c r="P61" s="749" t="s">
        <v>934</v>
      </c>
      <c r="Q61" s="793">
        <v>9084096</v>
      </c>
      <c r="R61" s="793">
        <v>9084096</v>
      </c>
      <c r="S61" s="793">
        <v>9084096</v>
      </c>
      <c r="T61" s="461">
        <v>0</v>
      </c>
      <c r="U61" s="498">
        <v>9084096</v>
      </c>
      <c r="V61" s="489"/>
    </row>
    <row r="62" spans="1:23" s="440" customFormat="1" ht="82.5">
      <c r="A62" s="704" t="s">
        <v>231</v>
      </c>
      <c r="B62" s="69" t="s">
        <v>659</v>
      </c>
      <c r="C62" s="70" t="s">
        <v>171</v>
      </c>
      <c r="D62" s="70" t="s">
        <v>687</v>
      </c>
      <c r="E62" s="81">
        <v>3717481</v>
      </c>
      <c r="F62" s="630"/>
      <c r="G62" s="643">
        <v>11000000</v>
      </c>
      <c r="H62" s="461">
        <v>0</v>
      </c>
      <c r="I62" s="461">
        <v>0</v>
      </c>
      <c r="J62" s="476">
        <v>0</v>
      </c>
      <c r="K62" s="476">
        <v>0</v>
      </c>
      <c r="L62" s="494">
        <v>0</v>
      </c>
      <c r="M62" s="498">
        <v>0</v>
      </c>
      <c r="N62" s="629"/>
      <c r="O62" s="718">
        <v>0</v>
      </c>
      <c r="P62" s="727">
        <v>3717481</v>
      </c>
      <c r="Q62" s="708">
        <v>3717481</v>
      </c>
      <c r="R62" s="708">
        <v>3717481</v>
      </c>
      <c r="S62" s="708">
        <f>E62</f>
        <v>3717481</v>
      </c>
      <c r="T62" s="461">
        <v>0</v>
      </c>
      <c r="U62" s="707">
        <f>O62+S62+T62</f>
        <v>3717481</v>
      </c>
      <c r="V62" s="467" t="s">
        <v>750</v>
      </c>
    </row>
    <row r="63" spans="1:23" s="440" customFormat="1" ht="49.5">
      <c r="A63" s="704" t="s">
        <v>248</v>
      </c>
      <c r="B63" s="69" t="s">
        <v>661</v>
      </c>
      <c r="C63" s="70" t="s">
        <v>171</v>
      </c>
      <c r="D63" s="70" t="s">
        <v>687</v>
      </c>
      <c r="E63" s="81">
        <v>0</v>
      </c>
      <c r="F63" s="630"/>
      <c r="G63" s="643">
        <v>782839</v>
      </c>
      <c r="H63" s="461">
        <v>0</v>
      </c>
      <c r="I63" s="461">
        <v>0</v>
      </c>
      <c r="J63" s="468">
        <v>0</v>
      </c>
      <c r="K63" s="476">
        <v>234851.69999999998</v>
      </c>
      <c r="L63" s="494">
        <f t="shared" ref="L63:L64" si="40">J63+K63</f>
        <v>234851.69999999998</v>
      </c>
      <c r="M63" s="498">
        <f t="shared" ref="M63:M64" si="41">I63-L63</f>
        <v>-234851.69999999998</v>
      </c>
      <c r="N63" s="629"/>
      <c r="O63" s="718">
        <v>0</v>
      </c>
      <c r="P63" s="727">
        <v>0</v>
      </c>
      <c r="Q63" s="708">
        <v>0</v>
      </c>
      <c r="R63" s="708">
        <v>0</v>
      </c>
      <c r="S63" s="708">
        <v>0</v>
      </c>
      <c r="T63" s="461">
        <v>0</v>
      </c>
      <c r="U63" s="462">
        <v>0</v>
      </c>
      <c r="V63" s="467" t="s">
        <v>751</v>
      </c>
    </row>
    <row r="64" spans="1:23" s="440" customFormat="1" ht="49.5">
      <c r="A64" s="704" t="s">
        <v>310</v>
      </c>
      <c r="B64" s="69" t="s">
        <v>665</v>
      </c>
      <c r="C64" s="70" t="s">
        <v>171</v>
      </c>
      <c r="D64" s="70" t="s">
        <v>687</v>
      </c>
      <c r="E64" s="81">
        <v>130000</v>
      </c>
      <c r="F64" s="630"/>
      <c r="G64" s="643">
        <v>130000</v>
      </c>
      <c r="H64" s="461">
        <v>0</v>
      </c>
      <c r="I64" s="461">
        <v>0</v>
      </c>
      <c r="J64" s="468">
        <v>0</v>
      </c>
      <c r="K64" s="476">
        <v>130000</v>
      </c>
      <c r="L64" s="494">
        <f t="shared" si="40"/>
        <v>130000</v>
      </c>
      <c r="M64" s="498">
        <f t="shared" si="41"/>
        <v>-130000</v>
      </c>
      <c r="N64" s="629"/>
      <c r="O64" s="718">
        <v>0</v>
      </c>
      <c r="P64" s="727">
        <v>0</v>
      </c>
      <c r="Q64" s="708">
        <v>0</v>
      </c>
      <c r="R64" s="708">
        <v>130000</v>
      </c>
      <c r="S64" s="708">
        <v>130000</v>
      </c>
      <c r="T64" s="461">
        <v>0</v>
      </c>
      <c r="U64" s="462">
        <f>O64+S64+T64</f>
        <v>130000</v>
      </c>
      <c r="V64" s="467" t="s">
        <v>751</v>
      </c>
    </row>
    <row r="65" spans="1:22" s="89" customFormat="1" ht="48.75" customHeight="1">
      <c r="A65" s="685" t="s">
        <v>921</v>
      </c>
      <c r="B65" s="425"/>
      <c r="C65" s="80"/>
      <c r="D65" s="80"/>
      <c r="E65" s="80"/>
      <c r="F65" s="499"/>
      <c r="G65" s="646"/>
      <c r="H65" s="80"/>
      <c r="I65" s="459"/>
      <c r="J65" s="486"/>
      <c r="K65" s="486"/>
      <c r="L65" s="486"/>
      <c r="M65" s="486"/>
      <c r="N65" s="502"/>
      <c r="O65" s="459"/>
      <c r="P65" s="502"/>
      <c r="Q65" s="502"/>
      <c r="R65" s="502"/>
      <c r="S65" s="735"/>
      <c r="T65" s="80"/>
      <c r="U65" s="80"/>
      <c r="V65" s="490"/>
    </row>
    <row r="66" spans="1:22" s="89" customFormat="1" ht="42" customHeight="1">
      <c r="A66" s="810" t="s">
        <v>924</v>
      </c>
      <c r="B66" s="810"/>
      <c r="C66" s="810"/>
      <c r="D66" s="810"/>
      <c r="E66" s="810"/>
      <c r="F66" s="810"/>
      <c r="G66" s="810"/>
      <c r="H66" s="810"/>
      <c r="I66" s="810"/>
      <c r="J66" s="810"/>
      <c r="K66" s="810"/>
      <c r="L66" s="810"/>
      <c r="M66" s="810"/>
      <c r="N66" s="810"/>
      <c r="O66" s="810"/>
      <c r="P66" s="810"/>
      <c r="Q66" s="810"/>
      <c r="R66" s="810"/>
      <c r="S66" s="810"/>
      <c r="T66" s="810"/>
      <c r="U66" s="810"/>
      <c r="V66" s="490"/>
    </row>
    <row r="67" spans="1:22" s="89" customFormat="1" ht="49.5" customHeight="1">
      <c r="A67" s="760" t="s">
        <v>933</v>
      </c>
      <c r="B67" s="427"/>
      <c r="C67" s="428"/>
      <c r="D67" s="503"/>
      <c r="E67" s="503"/>
      <c r="F67" s="503"/>
      <c r="G67" s="647"/>
      <c r="H67" s="503"/>
      <c r="I67" s="502"/>
      <c r="J67" s="486"/>
      <c r="K67" s="486"/>
      <c r="L67" s="486"/>
      <c r="M67" s="486"/>
      <c r="N67" s="502"/>
      <c r="O67" s="502"/>
      <c r="P67" s="502"/>
      <c r="Q67" s="502"/>
      <c r="R67" s="502"/>
      <c r="S67" s="735"/>
      <c r="T67" s="499"/>
      <c r="U67" s="499"/>
      <c r="V67" s="490"/>
    </row>
    <row r="68" spans="1:22" s="89" customFormat="1" ht="30.75">
      <c r="A68" s="750">
        <v>41592</v>
      </c>
      <c r="C68" s="428"/>
      <c r="D68" s="429"/>
      <c r="E68" s="429"/>
      <c r="F68" s="503"/>
      <c r="G68" s="647"/>
      <c r="H68" s="429"/>
      <c r="I68" s="809" t="s">
        <v>932</v>
      </c>
      <c r="J68" s="809"/>
      <c r="K68" s="809"/>
      <c r="L68" s="809"/>
      <c r="M68" s="809"/>
      <c r="N68" s="809"/>
      <c r="O68" s="809"/>
      <c r="P68" s="809"/>
      <c r="Q68" s="752"/>
      <c r="R68" s="752"/>
      <c r="S68" s="735"/>
      <c r="T68" s="80"/>
      <c r="U68" s="80"/>
      <c r="V68" s="490"/>
    </row>
    <row r="69" spans="1:22" s="89" customFormat="1" ht="30.75">
      <c r="A69" s="430" t="s">
        <v>930</v>
      </c>
      <c r="C69" s="428"/>
      <c r="D69" s="429"/>
      <c r="E69" s="429"/>
      <c r="F69" s="503"/>
      <c r="G69" s="647"/>
      <c r="H69" s="429"/>
      <c r="I69" s="751" t="s">
        <v>935</v>
      </c>
      <c r="J69" s="753"/>
      <c r="K69" s="753"/>
      <c r="L69" s="754"/>
      <c r="M69" s="754"/>
      <c r="N69" s="753"/>
      <c r="O69" s="753"/>
      <c r="P69" s="752"/>
      <c r="S69" s="808" t="s">
        <v>936</v>
      </c>
      <c r="T69" s="808"/>
      <c r="U69" s="80"/>
      <c r="V69" s="490"/>
    </row>
    <row r="70" spans="1:22" s="89" customFormat="1" ht="18.75">
      <c r="A70" s="431">
        <v>67083964</v>
      </c>
      <c r="C70" s="428"/>
      <c r="D70" s="429"/>
      <c r="E70" s="429"/>
      <c r="F70" s="503"/>
      <c r="G70" s="647"/>
      <c r="H70" s="429"/>
      <c r="I70" s="426"/>
      <c r="J70" s="486"/>
      <c r="K70" s="486"/>
      <c r="L70" s="486"/>
      <c r="M70" s="486"/>
      <c r="N70" s="502"/>
      <c r="O70" s="426"/>
      <c r="P70" s="502"/>
      <c r="Q70" s="502"/>
      <c r="R70" s="502"/>
      <c r="S70" s="735"/>
      <c r="T70" s="80"/>
      <c r="U70" s="80"/>
      <c r="V70" s="490"/>
    </row>
    <row r="71" spans="1:22" s="89" customFormat="1" ht="18.75">
      <c r="A71" s="432" t="s">
        <v>931</v>
      </c>
      <c r="C71" s="428"/>
      <c r="D71" s="429"/>
      <c r="E71" s="429"/>
      <c r="F71" s="503"/>
      <c r="G71" s="647"/>
      <c r="H71" s="429"/>
      <c r="I71" s="426"/>
      <c r="J71" s="486"/>
      <c r="K71" s="486"/>
      <c r="L71" s="486"/>
      <c r="M71" s="486"/>
      <c r="N71" s="502"/>
      <c r="O71" s="426"/>
      <c r="P71" s="502"/>
      <c r="Q71" s="502"/>
      <c r="R71" s="502"/>
      <c r="S71" s="735"/>
      <c r="T71" s="80"/>
      <c r="U71" s="80"/>
      <c r="V71" s="490"/>
    </row>
    <row r="72" spans="1:22" s="89" customFormat="1" ht="99" customHeight="1">
      <c r="B72" s="425"/>
      <c r="C72" s="80"/>
      <c r="D72" s="80"/>
      <c r="E72" s="80"/>
      <c r="F72" s="499"/>
      <c r="G72" s="646"/>
      <c r="H72" s="80"/>
      <c r="I72" s="426"/>
      <c r="J72" s="486"/>
      <c r="K72" s="486"/>
      <c r="L72" s="486"/>
      <c r="M72" s="486"/>
      <c r="N72" s="502"/>
      <c r="O72" s="426"/>
      <c r="P72" s="502"/>
      <c r="Q72" s="502"/>
      <c r="R72" s="502"/>
      <c r="S72" s="735"/>
      <c r="T72" s="80"/>
      <c r="U72" s="80"/>
      <c r="V72" s="490"/>
    </row>
    <row r="73" spans="1:22" s="445" customFormat="1" ht="22.9" customHeight="1">
      <c r="A73" s="706"/>
      <c r="B73" s="425"/>
      <c r="C73" s="80"/>
      <c r="D73" s="80"/>
      <c r="E73" s="80"/>
      <c r="F73" s="499"/>
      <c r="G73" s="646"/>
      <c r="H73" s="80"/>
      <c r="I73" s="426"/>
      <c r="J73" s="486"/>
      <c r="K73" s="486"/>
      <c r="L73" s="486"/>
      <c r="M73" s="486"/>
      <c r="N73" s="502"/>
      <c r="O73" s="426"/>
      <c r="P73" s="502"/>
      <c r="Q73" s="502"/>
      <c r="R73" s="502"/>
      <c r="S73" s="735"/>
      <c r="T73" s="80"/>
      <c r="U73" s="80"/>
      <c r="V73" s="490"/>
    </row>
    <row r="74" spans="1:22" s="440" customFormat="1" ht="66" customHeight="1">
      <c r="A74" s="706"/>
      <c r="B74" s="425"/>
      <c r="C74" s="80"/>
      <c r="D74" s="80"/>
      <c r="E74" s="80"/>
      <c r="F74" s="499"/>
      <c r="G74" s="646"/>
      <c r="H74" s="80"/>
      <c r="I74" s="426"/>
      <c r="J74" s="486"/>
      <c r="K74" s="486"/>
      <c r="L74" s="486"/>
      <c r="M74" s="486"/>
      <c r="N74" s="502"/>
      <c r="O74" s="426"/>
      <c r="P74" s="502"/>
      <c r="Q74" s="502"/>
      <c r="R74" s="502"/>
      <c r="S74" s="735"/>
      <c r="T74" s="80"/>
      <c r="U74" s="80"/>
      <c r="V74" s="490"/>
    </row>
    <row r="75" spans="1:22" s="440" customFormat="1" ht="66" customHeight="1">
      <c r="A75" s="706"/>
      <c r="B75" s="425"/>
      <c r="C75" s="80"/>
      <c r="D75" s="80"/>
      <c r="E75" s="80"/>
      <c r="F75" s="499"/>
      <c r="G75" s="646"/>
      <c r="H75" s="80"/>
      <c r="I75" s="426"/>
      <c r="J75" s="486"/>
      <c r="K75" s="486"/>
      <c r="L75" s="486"/>
      <c r="M75" s="486"/>
      <c r="N75" s="502"/>
      <c r="O75" s="426"/>
      <c r="P75" s="502"/>
      <c r="Q75" s="502"/>
      <c r="R75" s="502"/>
      <c r="S75" s="735"/>
      <c r="T75" s="80"/>
      <c r="U75" s="80"/>
      <c r="V75" s="490"/>
    </row>
    <row r="76" spans="1:22" s="440" customFormat="1" ht="99" customHeight="1">
      <c r="A76" s="706"/>
      <c r="B76" s="425"/>
      <c r="C76" s="80"/>
      <c r="D76" s="80"/>
      <c r="E76" s="80"/>
      <c r="F76" s="499"/>
      <c r="G76" s="646"/>
      <c r="H76" s="499"/>
      <c r="I76" s="502"/>
      <c r="J76" s="486"/>
      <c r="K76" s="486"/>
      <c r="L76" s="486"/>
      <c r="M76" s="486"/>
      <c r="N76" s="502"/>
      <c r="O76" s="502"/>
      <c r="P76" s="502"/>
      <c r="Q76" s="502"/>
      <c r="R76" s="502"/>
      <c r="S76" s="735"/>
      <c r="T76" s="80"/>
      <c r="U76" s="80"/>
      <c r="V76" s="490"/>
    </row>
    <row r="77" spans="1:22" s="80" customFormat="1">
      <c r="A77" s="706"/>
      <c r="B77" s="425"/>
      <c r="F77" s="499"/>
      <c r="G77" s="646"/>
      <c r="H77" s="499"/>
      <c r="I77" s="502"/>
      <c r="J77" s="486"/>
      <c r="K77" s="486"/>
      <c r="L77" s="486"/>
      <c r="M77" s="486"/>
      <c r="N77" s="502"/>
      <c r="O77" s="502"/>
      <c r="P77" s="502"/>
      <c r="Q77" s="502"/>
      <c r="R77" s="502"/>
      <c r="S77" s="735"/>
      <c r="V77" s="490"/>
    </row>
    <row r="78" spans="1:22" s="80" customFormat="1">
      <c r="A78" s="706"/>
      <c r="B78" s="425"/>
      <c r="F78" s="499"/>
      <c r="G78" s="646"/>
      <c r="H78" s="499"/>
      <c r="I78" s="502"/>
      <c r="J78" s="486"/>
      <c r="K78" s="486"/>
      <c r="L78" s="486"/>
      <c r="M78" s="486"/>
      <c r="N78" s="502"/>
      <c r="O78" s="502"/>
      <c r="P78" s="502"/>
      <c r="Q78" s="502"/>
      <c r="R78" s="502"/>
      <c r="S78" s="735"/>
      <c r="V78" s="490"/>
    </row>
    <row r="79" spans="1:22" s="80" customFormat="1">
      <c r="A79" s="698"/>
      <c r="B79" s="43"/>
      <c r="C79" s="42"/>
      <c r="D79" s="42"/>
      <c r="F79" s="499"/>
      <c r="G79" s="646"/>
      <c r="H79" s="499"/>
      <c r="I79" s="502"/>
      <c r="J79" s="486"/>
      <c r="K79" s="486"/>
      <c r="L79" s="486"/>
      <c r="M79" s="486"/>
      <c r="N79" s="502"/>
      <c r="O79" s="502"/>
      <c r="P79" s="502"/>
      <c r="Q79" s="502"/>
      <c r="R79" s="502"/>
      <c r="S79" s="735"/>
      <c r="T79" s="42"/>
      <c r="U79" s="42"/>
      <c r="V79" s="481"/>
    </row>
    <row r="80" spans="1:22" s="80" customFormat="1">
      <c r="A80" s="698"/>
      <c r="B80" s="43"/>
      <c r="C80" s="42"/>
      <c r="D80" s="42"/>
      <c r="F80" s="499"/>
      <c r="G80" s="646"/>
      <c r="H80" s="499"/>
      <c r="I80" s="502"/>
      <c r="J80" s="486"/>
      <c r="K80" s="486"/>
      <c r="L80" s="486"/>
      <c r="M80" s="486"/>
      <c r="N80" s="502"/>
      <c r="O80" s="502"/>
      <c r="P80" s="502"/>
      <c r="Q80" s="502"/>
      <c r="R80" s="502"/>
      <c r="S80" s="735"/>
      <c r="T80" s="42"/>
      <c r="U80" s="42"/>
      <c r="V80" s="481"/>
    </row>
    <row r="81" spans="1:22" s="80" customFormat="1">
      <c r="A81" s="698"/>
      <c r="B81" s="43"/>
      <c r="C81" s="42"/>
      <c r="D81" s="42"/>
      <c r="F81" s="499"/>
      <c r="G81" s="646"/>
      <c r="H81" s="499"/>
      <c r="I81" s="502"/>
      <c r="J81" s="486"/>
      <c r="K81" s="486"/>
      <c r="L81" s="486"/>
      <c r="M81" s="486"/>
      <c r="N81" s="502"/>
      <c r="O81" s="502"/>
      <c r="P81" s="502"/>
      <c r="Q81" s="502"/>
      <c r="R81" s="502"/>
      <c r="S81" s="735"/>
      <c r="T81" s="42"/>
      <c r="U81" s="42"/>
      <c r="V81" s="481"/>
    </row>
    <row r="82" spans="1:22" s="80" customFormat="1">
      <c r="A82" s="698"/>
      <c r="B82" s="43"/>
      <c r="C82" s="42"/>
      <c r="D82" s="42"/>
      <c r="F82" s="499"/>
      <c r="G82" s="646"/>
      <c r="H82" s="499"/>
      <c r="I82" s="502"/>
      <c r="J82" s="486"/>
      <c r="K82" s="486"/>
      <c r="L82" s="486"/>
      <c r="M82" s="486"/>
      <c r="N82" s="502"/>
      <c r="O82" s="502"/>
      <c r="P82" s="502"/>
      <c r="Q82" s="502"/>
      <c r="R82" s="502"/>
      <c r="S82" s="735"/>
      <c r="T82" s="42"/>
      <c r="U82" s="42"/>
      <c r="V82" s="481"/>
    </row>
    <row r="83" spans="1:22" s="80" customFormat="1">
      <c r="A83" s="698"/>
      <c r="B83" s="43"/>
      <c r="C83" s="42"/>
      <c r="D83" s="42"/>
      <c r="F83" s="499"/>
      <c r="G83" s="646"/>
      <c r="H83" s="499"/>
      <c r="I83" s="502"/>
      <c r="J83" s="486"/>
      <c r="K83" s="486"/>
      <c r="L83" s="486"/>
      <c r="M83" s="486"/>
      <c r="N83" s="502"/>
      <c r="O83" s="502"/>
      <c r="P83" s="502"/>
      <c r="Q83" s="502"/>
      <c r="R83" s="502"/>
      <c r="S83" s="735"/>
      <c r="T83" s="42"/>
      <c r="U83" s="42"/>
      <c r="V83" s="481"/>
    </row>
    <row r="84" spans="1:22" s="80" customFormat="1">
      <c r="A84" s="698"/>
      <c r="B84" s="43"/>
      <c r="C84" s="42"/>
      <c r="D84" s="42"/>
      <c r="F84" s="499"/>
      <c r="G84" s="646"/>
      <c r="H84" s="499"/>
      <c r="I84" s="502"/>
      <c r="J84" s="486"/>
      <c r="K84" s="486"/>
      <c r="L84" s="486"/>
      <c r="M84" s="486"/>
      <c r="N84" s="502"/>
      <c r="O84" s="502"/>
      <c r="P84" s="502"/>
      <c r="Q84" s="502"/>
      <c r="R84" s="502"/>
      <c r="S84" s="735"/>
      <c r="T84" s="42"/>
      <c r="U84" s="42"/>
      <c r="V84" s="481"/>
    </row>
    <row r="85" spans="1:22" s="80" customFormat="1">
      <c r="A85" s="698"/>
      <c r="B85" s="43"/>
      <c r="C85" s="42"/>
      <c r="D85" s="42"/>
      <c r="F85" s="499"/>
      <c r="G85" s="646"/>
      <c r="H85" s="499"/>
      <c r="I85" s="502"/>
      <c r="J85" s="486"/>
      <c r="K85" s="486"/>
      <c r="L85" s="486"/>
      <c r="M85" s="486"/>
      <c r="N85" s="502"/>
      <c r="O85" s="502"/>
      <c r="P85" s="502"/>
      <c r="Q85" s="502"/>
      <c r="R85" s="502"/>
      <c r="S85" s="735"/>
      <c r="T85" s="42"/>
      <c r="U85" s="42"/>
      <c r="V85" s="481"/>
    </row>
    <row r="86" spans="1:22" s="80" customFormat="1">
      <c r="A86" s="698"/>
      <c r="B86" s="43"/>
      <c r="C86" s="42"/>
      <c r="D86" s="42"/>
      <c r="F86" s="499"/>
      <c r="G86" s="646"/>
      <c r="H86" s="499"/>
      <c r="I86" s="502"/>
      <c r="J86" s="486"/>
      <c r="K86" s="486"/>
      <c r="L86" s="486"/>
      <c r="M86" s="486"/>
      <c r="N86" s="502"/>
      <c r="O86" s="502"/>
      <c r="P86" s="502"/>
      <c r="Q86" s="502"/>
      <c r="R86" s="502"/>
      <c r="S86" s="735"/>
      <c r="T86" s="42"/>
      <c r="U86" s="42"/>
      <c r="V86" s="481"/>
    </row>
    <row r="87" spans="1:22" s="80" customFormat="1">
      <c r="A87" s="698"/>
      <c r="B87" s="43"/>
      <c r="C87" s="42"/>
      <c r="D87" s="42"/>
      <c r="F87" s="499"/>
      <c r="G87" s="646"/>
      <c r="H87" s="499"/>
      <c r="I87" s="731"/>
      <c r="J87" s="732"/>
      <c r="K87" s="732"/>
      <c r="L87" s="732"/>
      <c r="M87" s="732"/>
      <c r="N87" s="733"/>
      <c r="O87" s="731"/>
      <c r="P87" s="731"/>
      <c r="Q87" s="731"/>
      <c r="R87" s="731"/>
      <c r="S87" s="735"/>
      <c r="T87" s="42"/>
      <c r="U87" s="42"/>
      <c r="V87" s="481"/>
    </row>
    <row r="88" spans="1:22" s="80" customFormat="1">
      <c r="A88" s="698"/>
      <c r="B88" s="43"/>
      <c r="C88" s="42"/>
      <c r="D88" s="42"/>
      <c r="F88" s="499"/>
      <c r="G88" s="646"/>
      <c r="H88" s="499"/>
      <c r="I88" s="731"/>
      <c r="J88" s="732"/>
      <c r="K88" s="732"/>
      <c r="L88" s="732"/>
      <c r="M88" s="732"/>
      <c r="N88" s="733"/>
      <c r="O88" s="731"/>
      <c r="P88" s="731"/>
      <c r="Q88" s="731"/>
      <c r="R88" s="731"/>
      <c r="S88" s="735"/>
      <c r="T88" s="42"/>
      <c r="U88" s="42"/>
      <c r="V88" s="481"/>
    </row>
    <row r="89" spans="1:22" s="80" customFormat="1">
      <c r="A89" s="698"/>
      <c r="B89" s="43"/>
      <c r="C89" s="42"/>
      <c r="D89" s="42"/>
      <c r="F89" s="499"/>
      <c r="G89" s="646"/>
      <c r="H89" s="499"/>
      <c r="I89" s="731"/>
      <c r="J89" s="732"/>
      <c r="K89" s="732"/>
      <c r="L89" s="732"/>
      <c r="M89" s="732"/>
      <c r="N89" s="733"/>
      <c r="O89" s="731"/>
      <c r="P89" s="731"/>
      <c r="Q89" s="731"/>
      <c r="R89" s="731"/>
      <c r="S89" s="735"/>
      <c r="T89" s="42"/>
      <c r="U89" s="42"/>
      <c r="V89" s="481"/>
    </row>
    <row r="90" spans="1:22" s="80" customFormat="1">
      <c r="A90" s="698"/>
      <c r="B90" s="43"/>
      <c r="C90" s="42"/>
      <c r="D90" s="42"/>
      <c r="F90" s="499"/>
      <c r="G90" s="646"/>
      <c r="H90" s="499"/>
      <c r="I90" s="731"/>
      <c r="J90" s="732"/>
      <c r="K90" s="732"/>
      <c r="L90" s="732"/>
      <c r="M90" s="732"/>
      <c r="N90" s="733"/>
      <c r="O90" s="731"/>
      <c r="P90" s="731"/>
      <c r="Q90" s="731"/>
      <c r="R90" s="731"/>
      <c r="S90" s="735"/>
      <c r="T90" s="42"/>
      <c r="U90" s="42"/>
      <c r="V90" s="481"/>
    </row>
    <row r="91" spans="1:22" s="80" customFormat="1">
      <c r="A91" s="698"/>
      <c r="B91" s="43"/>
      <c r="C91" s="42"/>
      <c r="D91" s="42"/>
      <c r="F91" s="499"/>
      <c r="G91" s="646"/>
      <c r="H91" s="499"/>
      <c r="I91" s="731"/>
      <c r="J91" s="732"/>
      <c r="K91" s="732"/>
      <c r="L91" s="732"/>
      <c r="M91" s="732"/>
      <c r="N91" s="733"/>
      <c r="O91" s="731"/>
      <c r="P91" s="731"/>
      <c r="Q91" s="731"/>
      <c r="R91" s="731"/>
      <c r="S91" s="735"/>
      <c r="T91" s="42"/>
      <c r="U91" s="42"/>
      <c r="V91" s="481"/>
    </row>
    <row r="92" spans="1:22" s="80" customFormat="1">
      <c r="A92" s="698"/>
      <c r="B92" s="43"/>
      <c r="C92" s="42"/>
      <c r="D92" s="42"/>
      <c r="F92" s="499"/>
      <c r="G92" s="646"/>
      <c r="H92" s="499"/>
      <c r="I92" s="731"/>
      <c r="J92" s="732"/>
      <c r="K92" s="732"/>
      <c r="L92" s="732"/>
      <c r="M92" s="732"/>
      <c r="N92" s="733"/>
      <c r="O92" s="731"/>
      <c r="P92" s="731"/>
      <c r="Q92" s="731"/>
      <c r="R92" s="731"/>
      <c r="S92" s="735"/>
      <c r="T92" s="42"/>
      <c r="U92" s="42"/>
      <c r="V92" s="481"/>
    </row>
    <row r="93" spans="1:22" s="80" customFormat="1">
      <c r="A93" s="698"/>
      <c r="B93" s="43"/>
      <c r="C93" s="42"/>
      <c r="D93" s="42"/>
      <c r="F93" s="499"/>
      <c r="G93" s="646"/>
      <c r="H93" s="499"/>
      <c r="I93" s="731"/>
      <c r="J93" s="732"/>
      <c r="K93" s="732"/>
      <c r="L93" s="732"/>
      <c r="M93" s="732"/>
      <c r="N93" s="733"/>
      <c r="O93" s="731"/>
      <c r="P93" s="731"/>
      <c r="Q93" s="731"/>
      <c r="R93" s="731"/>
      <c r="S93" s="735"/>
      <c r="T93" s="42"/>
      <c r="U93" s="42"/>
      <c r="V93" s="481"/>
    </row>
    <row r="94" spans="1:22" s="80" customFormat="1">
      <c r="A94" s="698"/>
      <c r="B94" s="43"/>
      <c r="C94" s="42"/>
      <c r="D94" s="42"/>
      <c r="F94" s="499"/>
      <c r="G94" s="646"/>
      <c r="H94" s="499"/>
      <c r="I94" s="731"/>
      <c r="J94" s="732"/>
      <c r="K94" s="732"/>
      <c r="L94" s="732"/>
      <c r="M94" s="732"/>
      <c r="N94" s="733"/>
      <c r="O94" s="731"/>
      <c r="P94" s="731"/>
      <c r="Q94" s="731"/>
      <c r="R94" s="731"/>
      <c r="S94" s="735"/>
      <c r="T94" s="42"/>
      <c r="U94" s="42"/>
      <c r="V94" s="481"/>
    </row>
    <row r="95" spans="1:22" s="80" customFormat="1">
      <c r="A95" s="698"/>
      <c r="B95" s="43"/>
      <c r="C95" s="42"/>
      <c r="D95" s="42"/>
      <c r="F95" s="499"/>
      <c r="G95" s="646"/>
      <c r="I95" s="243"/>
      <c r="J95" s="478"/>
      <c r="K95" s="478"/>
      <c r="L95" s="478"/>
      <c r="M95" s="478"/>
      <c r="N95" s="472"/>
      <c r="O95" s="243"/>
      <c r="P95" s="243"/>
      <c r="Q95" s="243"/>
      <c r="R95" s="243"/>
      <c r="S95" s="736"/>
      <c r="T95" s="42"/>
      <c r="U95" s="42"/>
      <c r="V95" s="481"/>
    </row>
    <row r="96" spans="1:22" s="80" customFormat="1">
      <c r="A96" s="698"/>
      <c r="B96" s="43"/>
      <c r="C96" s="42"/>
      <c r="D96" s="42"/>
      <c r="F96" s="499"/>
      <c r="G96" s="646"/>
      <c r="I96" s="243"/>
      <c r="J96" s="478"/>
      <c r="K96" s="478"/>
      <c r="L96" s="478"/>
      <c r="M96" s="478"/>
      <c r="N96" s="472"/>
      <c r="O96" s="243"/>
      <c r="P96" s="243"/>
      <c r="Q96" s="243"/>
      <c r="R96" s="243"/>
      <c r="S96" s="736"/>
      <c r="T96" s="42"/>
      <c r="U96" s="42"/>
      <c r="V96" s="481"/>
    </row>
  </sheetData>
  <autoFilter ref="A24:W66"/>
  <mergeCells count="13">
    <mergeCell ref="S69:T69"/>
    <mergeCell ref="I68:P68"/>
    <mergeCell ref="A66:U66"/>
    <mergeCell ref="A52:D52"/>
    <mergeCell ref="V11:V13"/>
    <mergeCell ref="T2:U3"/>
    <mergeCell ref="A6:U6"/>
    <mergeCell ref="U12:U13"/>
    <mergeCell ref="T12:T13"/>
    <mergeCell ref="I12:O12"/>
    <mergeCell ref="S12:S13"/>
    <mergeCell ref="I8:U8"/>
    <mergeCell ref="P11:S11"/>
  </mergeCells>
  <hyperlinks>
    <hyperlink ref="A71" r:id="rId1"/>
  </hyperlinks>
  <pageMargins left="0.25" right="0.25" top="0.75" bottom="0.75" header="0.3" footer="0.3"/>
  <pageSetup paperSize="9" scale="35" fitToHeight="0" orientation="portrait" r:id="rId2"/>
  <headerFooter>
    <oddFooter>&amp;L&amp;F; Virssaistību iespējas 2007.-2013.gada plānošanas perioda ES fondu projektos dalīījumā pa ceturkšņiem un gadiem(LVL)</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F59"/>
  <sheetViews>
    <sheetView view="pageBreakPreview" zoomScaleNormal="100" zoomScaleSheetLayoutView="100" workbookViewId="0">
      <selection activeCell="AH12" sqref="AH12"/>
    </sheetView>
  </sheetViews>
  <sheetFormatPr defaultRowHeight="15.75" outlineLevelCol="1"/>
  <cols>
    <col min="1" max="1" width="32" style="495" customWidth="1"/>
    <col min="2" max="2" width="14.140625" style="609" hidden="1" customWidth="1"/>
    <col min="3" max="3" width="14.7109375" style="609" hidden="1" customWidth="1" outlineLevel="1"/>
    <col min="4" max="4" width="12.28515625" style="609" hidden="1" customWidth="1" outlineLevel="1" collapsed="1"/>
    <col min="5" max="5" width="13.85546875" style="610" hidden="1" customWidth="1" outlineLevel="1"/>
    <col min="6" max="6" width="13.7109375" style="610" hidden="1" customWidth="1" outlineLevel="1"/>
    <col min="7" max="7" width="12.42578125" style="611" hidden="1" customWidth="1" outlineLevel="1"/>
    <col min="8" max="8" width="14.28515625" style="495" hidden="1" customWidth="1" outlineLevel="1"/>
    <col min="9" max="9" width="12.28515625" style="609" hidden="1" customWidth="1" outlineLevel="1"/>
    <col min="10" max="10" width="13.85546875" style="610" hidden="1" customWidth="1" outlineLevel="1"/>
    <col min="11" max="11" width="13.7109375" style="610" hidden="1" customWidth="1" outlineLevel="1"/>
    <col min="12" max="12" width="12.5703125" style="611" hidden="1" customWidth="1" outlineLevel="1"/>
    <col min="13" max="13" width="14.28515625" style="495" hidden="1" customWidth="1" outlineLevel="1"/>
    <col min="14" max="14" width="12.5703125" style="495" hidden="1" customWidth="1" outlineLevel="1"/>
    <col min="15" max="15" width="14.140625" style="495" hidden="1" customWidth="1" outlineLevel="1"/>
    <col min="16" max="16" width="15" style="495" hidden="1" customWidth="1" outlineLevel="1"/>
    <col min="17" max="18" width="14.140625" style="495" hidden="1" customWidth="1" outlineLevel="1"/>
    <col min="19" max="19" width="12.5703125" style="601" hidden="1" customWidth="1" outlineLevel="1"/>
    <col min="20" max="20" width="14.140625" style="495" hidden="1" customWidth="1" outlineLevel="1"/>
    <col min="21" max="21" width="15" style="601" hidden="1" customWidth="1" outlineLevel="1"/>
    <col min="22" max="23" width="14.140625" style="495" hidden="1" customWidth="1" outlineLevel="1"/>
    <col min="24" max="24" width="12.42578125" style="601" hidden="1" customWidth="1" outlineLevel="1"/>
    <col min="25" max="25" width="15.7109375" style="495" hidden="1" customWidth="1" outlineLevel="1"/>
    <col min="26" max="26" width="14" style="601" hidden="1" customWidth="1" outlineLevel="1"/>
    <col min="27" max="27" width="16.7109375" style="495" hidden="1" customWidth="1" outlineLevel="1"/>
    <col min="28" max="28" width="13.28515625" style="495" hidden="1" customWidth="1" outlineLevel="1"/>
    <col min="29" max="29" width="12.42578125" style="495" hidden="1" customWidth="1" outlineLevel="1"/>
    <col min="30" max="30" width="14.140625" style="495" hidden="1" customWidth="1" outlineLevel="1"/>
    <col min="31" max="31" width="14" style="495" hidden="1" customWidth="1" outlineLevel="1"/>
    <col min="32" max="32" width="10.140625" style="495" hidden="1" customWidth="1" outlineLevel="1"/>
    <col min="33" max="33" width="13.28515625" style="495" hidden="1" customWidth="1" outlineLevel="1"/>
    <col min="34" max="34" width="12.42578125" style="495" customWidth="1" collapsed="1"/>
    <col min="35" max="36" width="14" style="495" customWidth="1"/>
    <col min="37" max="37" width="11.140625" style="495" customWidth="1"/>
    <col min="38" max="39" width="13.28515625" style="495" customWidth="1"/>
    <col min="40" max="40" width="12.42578125" style="495" bestFit="1" customWidth="1"/>
    <col min="41" max="41" width="14.7109375" style="495" customWidth="1"/>
    <col min="42" max="42" width="14" style="495" bestFit="1" customWidth="1"/>
    <col min="43" max="43" width="13.42578125" style="495" customWidth="1"/>
    <col min="44" max="44" width="13.28515625" style="495" bestFit="1" customWidth="1"/>
    <col min="45" max="45" width="15.42578125" style="495" customWidth="1"/>
    <col min="46" max="46" width="12.42578125" style="495" bestFit="1" customWidth="1"/>
    <col min="47" max="47" width="11.85546875" style="495" customWidth="1"/>
    <col min="48" max="48" width="14" style="495" bestFit="1" customWidth="1"/>
    <col min="49" max="49" width="10.140625" style="495" customWidth="1"/>
    <col min="50" max="50" width="13.28515625" style="495" bestFit="1" customWidth="1"/>
    <col min="51" max="51" width="12.42578125" style="495" bestFit="1" customWidth="1"/>
    <col min="52" max="52" width="11.85546875" style="495" customWidth="1"/>
    <col min="53" max="53" width="14" style="495" bestFit="1" customWidth="1"/>
    <col min="54" max="54" width="10.140625" style="495" customWidth="1"/>
    <col min="55" max="55" width="13.28515625" style="495" bestFit="1" customWidth="1"/>
    <col min="56" max="56" width="11.85546875" style="495" customWidth="1"/>
    <col min="57" max="57" width="14" style="495" bestFit="1" customWidth="1"/>
    <col min="58" max="58" width="10.140625" style="495" bestFit="1" customWidth="1"/>
    <col min="59" max="16384" width="9.140625" style="495"/>
  </cols>
  <sheetData>
    <row r="1" spans="1:58" s="516" customFormat="1" ht="31.5" customHeight="1" thickBot="1">
      <c r="A1" s="823" t="s">
        <v>772</v>
      </c>
      <c r="B1" s="823"/>
      <c r="C1" s="823"/>
      <c r="D1" s="823"/>
      <c r="E1" s="823"/>
      <c r="F1" s="823"/>
      <c r="G1" s="823"/>
      <c r="H1" s="823"/>
      <c r="I1" s="823"/>
      <c r="J1" s="823"/>
      <c r="K1" s="823"/>
      <c r="L1" s="823"/>
      <c r="M1" s="823"/>
      <c r="N1" s="823"/>
      <c r="O1" s="823"/>
      <c r="P1" s="823"/>
      <c r="Q1" s="823"/>
      <c r="R1" s="823"/>
      <c r="S1" s="823"/>
      <c r="T1" s="823"/>
      <c r="U1" s="823"/>
      <c r="V1" s="823"/>
      <c r="W1" s="823"/>
      <c r="X1" s="515"/>
      <c r="Z1" s="515"/>
    </row>
    <row r="2" spans="1:58" ht="121.5" customHeight="1">
      <c r="A2" s="517"/>
      <c r="B2" s="518" t="s">
        <v>773</v>
      </c>
      <c r="C2" s="519" t="s">
        <v>774</v>
      </c>
      <c r="D2" s="518" t="s">
        <v>775</v>
      </c>
      <c r="E2" s="519" t="s">
        <v>776</v>
      </c>
      <c r="F2" s="519" t="s">
        <v>777</v>
      </c>
      <c r="G2" s="520" t="s">
        <v>778</v>
      </c>
      <c r="H2" s="520" t="s">
        <v>779</v>
      </c>
      <c r="I2" s="518" t="s">
        <v>780</v>
      </c>
      <c r="J2" s="519" t="s">
        <v>781</v>
      </c>
      <c r="K2" s="519" t="s">
        <v>782</v>
      </c>
      <c r="L2" s="520" t="s">
        <v>783</v>
      </c>
      <c r="M2" s="520" t="s">
        <v>784</v>
      </c>
      <c r="N2" s="518" t="s">
        <v>785</v>
      </c>
      <c r="O2" s="519" t="s">
        <v>786</v>
      </c>
      <c r="P2" s="519" t="s">
        <v>787</v>
      </c>
      <c r="Q2" s="520" t="s">
        <v>783</v>
      </c>
      <c r="R2" s="520" t="s">
        <v>788</v>
      </c>
      <c r="S2" s="521" t="s">
        <v>789</v>
      </c>
      <c r="T2" s="519" t="s">
        <v>790</v>
      </c>
      <c r="U2" s="522" t="s">
        <v>791</v>
      </c>
      <c r="V2" s="520" t="s">
        <v>783</v>
      </c>
      <c r="W2" s="520" t="s">
        <v>792</v>
      </c>
      <c r="X2" s="521" t="s">
        <v>793</v>
      </c>
      <c r="Y2" s="519" t="s">
        <v>794</v>
      </c>
      <c r="Z2" s="522" t="s">
        <v>795</v>
      </c>
      <c r="AA2" s="520" t="s">
        <v>783</v>
      </c>
      <c r="AB2" s="520" t="s">
        <v>796</v>
      </c>
      <c r="AC2" s="520" t="s">
        <v>797</v>
      </c>
      <c r="AD2" s="519" t="s">
        <v>798</v>
      </c>
      <c r="AE2" s="519" t="s">
        <v>799</v>
      </c>
      <c r="AF2" s="520" t="s">
        <v>783</v>
      </c>
      <c r="AG2" s="520" t="s">
        <v>800</v>
      </c>
      <c r="AH2" s="520" t="s">
        <v>801</v>
      </c>
      <c r="AI2" s="519" t="s">
        <v>802</v>
      </c>
      <c r="AJ2" s="519" t="s">
        <v>803</v>
      </c>
      <c r="AK2" s="520" t="s">
        <v>783</v>
      </c>
      <c r="AL2" s="520" t="s">
        <v>804</v>
      </c>
      <c r="AM2" s="520" t="s">
        <v>805</v>
      </c>
      <c r="AN2" s="520" t="s">
        <v>806</v>
      </c>
      <c r="AO2" s="519" t="s">
        <v>807</v>
      </c>
      <c r="AP2" s="519" t="s">
        <v>808</v>
      </c>
      <c r="AQ2" s="520" t="s">
        <v>783</v>
      </c>
      <c r="AR2" s="520" t="s">
        <v>809</v>
      </c>
      <c r="AS2" s="626" t="s">
        <v>859</v>
      </c>
      <c r="AT2" s="523" t="s">
        <v>810</v>
      </c>
      <c r="AU2" s="524" t="s">
        <v>811</v>
      </c>
      <c r="AV2" s="524" t="s">
        <v>812</v>
      </c>
      <c r="AW2" s="525" t="s">
        <v>783</v>
      </c>
      <c r="AX2" s="525" t="s">
        <v>813</v>
      </c>
      <c r="AY2" s="526" t="s">
        <v>814</v>
      </c>
      <c r="AZ2" s="524" t="s">
        <v>815</v>
      </c>
      <c r="BA2" s="524" t="s">
        <v>816</v>
      </c>
      <c r="BB2" s="525" t="s">
        <v>783</v>
      </c>
      <c r="BC2" s="525" t="s">
        <v>817</v>
      </c>
      <c r="BD2" s="524" t="s">
        <v>818</v>
      </c>
      <c r="BE2" s="524" t="s">
        <v>819</v>
      </c>
      <c r="BF2" s="525" t="s">
        <v>783</v>
      </c>
    </row>
    <row r="3" spans="1:58" ht="16.5" customHeight="1">
      <c r="A3" s="517">
        <v>1</v>
      </c>
      <c r="B3" s="518">
        <v>2</v>
      </c>
      <c r="C3" s="519">
        <v>2.1</v>
      </c>
      <c r="D3" s="518">
        <v>3</v>
      </c>
      <c r="E3" s="527"/>
      <c r="F3" s="518">
        <v>4</v>
      </c>
      <c r="G3" s="518"/>
      <c r="H3" s="518" t="s">
        <v>820</v>
      </c>
      <c r="I3" s="518">
        <v>6</v>
      </c>
      <c r="J3" s="518"/>
      <c r="K3" s="518">
        <v>7</v>
      </c>
      <c r="L3" s="518"/>
      <c r="M3" s="518" t="s">
        <v>821</v>
      </c>
      <c r="N3" s="518">
        <v>9</v>
      </c>
      <c r="O3" s="518"/>
      <c r="P3" s="518">
        <v>10</v>
      </c>
      <c r="Q3" s="518"/>
      <c r="R3" s="518" t="s">
        <v>822</v>
      </c>
      <c r="S3" s="528">
        <v>12</v>
      </c>
      <c r="T3" s="518"/>
      <c r="U3" s="528">
        <v>13</v>
      </c>
      <c r="V3" s="518"/>
      <c r="W3" s="518" t="s">
        <v>823</v>
      </c>
      <c r="X3" s="528">
        <v>15</v>
      </c>
      <c r="Y3" s="518"/>
      <c r="Z3" s="528">
        <v>16</v>
      </c>
      <c r="AA3" s="518"/>
      <c r="AB3" s="518" t="s">
        <v>824</v>
      </c>
      <c r="AC3" s="518">
        <v>3</v>
      </c>
      <c r="AD3" s="518"/>
      <c r="AE3" s="518">
        <v>4</v>
      </c>
      <c r="AF3" s="518">
        <v>5</v>
      </c>
      <c r="AG3" s="518">
        <v>6</v>
      </c>
      <c r="AH3" s="518">
        <v>7</v>
      </c>
      <c r="AI3" s="518"/>
      <c r="AJ3" s="518">
        <v>8</v>
      </c>
      <c r="AK3" s="518">
        <v>9</v>
      </c>
      <c r="AL3" s="518">
        <v>10</v>
      </c>
      <c r="AM3" s="518">
        <v>11</v>
      </c>
      <c r="AN3" s="518">
        <v>24</v>
      </c>
      <c r="AO3" s="518"/>
      <c r="AP3" s="518">
        <v>25</v>
      </c>
      <c r="AQ3" s="518"/>
      <c r="AR3" s="518" t="s">
        <v>825</v>
      </c>
      <c r="AS3" s="529"/>
      <c r="AT3" s="529">
        <v>27</v>
      </c>
      <c r="AU3" s="530"/>
      <c r="AV3" s="530">
        <v>28</v>
      </c>
      <c r="AW3" s="530"/>
      <c r="AX3" s="530" t="s">
        <v>826</v>
      </c>
      <c r="AY3" s="530">
        <v>30</v>
      </c>
      <c r="AZ3" s="530"/>
      <c r="BA3" s="530">
        <v>31</v>
      </c>
      <c r="BB3" s="530"/>
      <c r="BC3" s="530" t="s">
        <v>827</v>
      </c>
      <c r="BD3" s="530"/>
      <c r="BE3" s="530">
        <v>34</v>
      </c>
      <c r="BF3" s="530" t="s">
        <v>828</v>
      </c>
    </row>
    <row r="4" spans="1:58" ht="15.75" customHeight="1">
      <c r="A4" s="517"/>
      <c r="B4" s="518"/>
      <c r="C4" s="531"/>
      <c r="D4" s="817" t="s">
        <v>829</v>
      </c>
      <c r="E4" s="817"/>
      <c r="F4" s="817"/>
      <c r="G4" s="817"/>
      <c r="H4" s="817"/>
      <c r="I4" s="817" t="s">
        <v>830</v>
      </c>
      <c r="J4" s="817"/>
      <c r="K4" s="817"/>
      <c r="L4" s="817"/>
      <c r="M4" s="817"/>
      <c r="N4" s="817" t="s">
        <v>831</v>
      </c>
      <c r="O4" s="817"/>
      <c r="P4" s="817"/>
      <c r="Q4" s="817"/>
      <c r="R4" s="817"/>
      <c r="S4" s="817" t="s">
        <v>832</v>
      </c>
      <c r="T4" s="817"/>
      <c r="U4" s="817"/>
      <c r="V4" s="817"/>
      <c r="W4" s="817"/>
      <c r="X4" s="817" t="s">
        <v>833</v>
      </c>
      <c r="Y4" s="817"/>
      <c r="Z4" s="817"/>
      <c r="AA4" s="817"/>
      <c r="AB4" s="817"/>
      <c r="AC4" s="817" t="s">
        <v>834</v>
      </c>
      <c r="AD4" s="817"/>
      <c r="AE4" s="817"/>
      <c r="AF4" s="817"/>
      <c r="AG4" s="817"/>
      <c r="AH4" s="817" t="s">
        <v>835</v>
      </c>
      <c r="AI4" s="817"/>
      <c r="AJ4" s="817"/>
      <c r="AK4" s="817"/>
      <c r="AL4" s="817"/>
      <c r="AM4" s="817"/>
      <c r="AN4" s="817" t="s">
        <v>836</v>
      </c>
      <c r="AO4" s="817"/>
      <c r="AP4" s="817"/>
      <c r="AQ4" s="817"/>
      <c r="AR4" s="817"/>
      <c r="AS4" s="585"/>
      <c r="AT4" s="820" t="s">
        <v>837</v>
      </c>
      <c r="AU4" s="820"/>
      <c r="AV4" s="820"/>
      <c r="AW4" s="820"/>
      <c r="AX4" s="821"/>
      <c r="AY4" s="819" t="s">
        <v>838</v>
      </c>
      <c r="AZ4" s="820"/>
      <c r="BA4" s="820"/>
      <c r="BB4" s="820"/>
      <c r="BC4" s="821"/>
      <c r="BD4" s="820" t="s">
        <v>839</v>
      </c>
      <c r="BE4" s="820"/>
      <c r="BF4" s="822"/>
    </row>
    <row r="5" spans="1:58" ht="12" hidden="1" customHeight="1">
      <c r="A5" s="517"/>
      <c r="B5" s="532">
        <v>1</v>
      </c>
      <c r="C5" s="533">
        <v>2.1</v>
      </c>
      <c r="D5" s="532">
        <v>2</v>
      </c>
      <c r="E5" s="533">
        <v>2.2000000000000002</v>
      </c>
      <c r="F5" s="532">
        <v>3</v>
      </c>
      <c r="G5" s="532" t="s">
        <v>840</v>
      </c>
      <c r="H5" s="532" t="s">
        <v>841</v>
      </c>
      <c r="I5" s="532">
        <v>2</v>
      </c>
      <c r="J5" s="533">
        <v>2.2000000000000002</v>
      </c>
      <c r="K5" s="532">
        <v>3</v>
      </c>
      <c r="L5" s="532" t="s">
        <v>840</v>
      </c>
      <c r="M5" s="532" t="s">
        <v>841</v>
      </c>
      <c r="N5" s="532">
        <v>2</v>
      </c>
      <c r="O5" s="533">
        <v>2.2000000000000002</v>
      </c>
      <c r="P5" s="532">
        <v>3</v>
      </c>
      <c r="Q5" s="532" t="s">
        <v>840</v>
      </c>
      <c r="R5" s="532" t="s">
        <v>841</v>
      </c>
      <c r="S5" s="528">
        <v>2</v>
      </c>
      <c r="T5" s="533">
        <v>2.2000000000000002</v>
      </c>
      <c r="U5" s="528">
        <v>3</v>
      </c>
      <c r="V5" s="532" t="s">
        <v>840</v>
      </c>
      <c r="W5" s="532" t="s">
        <v>841</v>
      </c>
      <c r="X5" s="534"/>
      <c r="Y5" s="535"/>
      <c r="Z5" s="534"/>
      <c r="AA5" s="535"/>
      <c r="AB5" s="535"/>
      <c r="AC5" s="535"/>
      <c r="AD5" s="535"/>
      <c r="AE5" s="535"/>
      <c r="AF5" s="535"/>
      <c r="AG5" s="535"/>
      <c r="AH5" s="535"/>
      <c r="AI5" s="535"/>
      <c r="AJ5" s="535"/>
      <c r="AK5" s="535"/>
      <c r="AL5" s="535"/>
      <c r="AM5" s="535"/>
      <c r="AN5" s="535"/>
      <c r="AO5" s="535"/>
      <c r="AP5" s="535"/>
      <c r="AQ5" s="535"/>
      <c r="AR5" s="535"/>
      <c r="AS5" s="536"/>
      <c r="BD5" s="536"/>
      <c r="BE5" s="536"/>
      <c r="BF5" s="537"/>
    </row>
    <row r="6" spans="1:58" ht="29.25">
      <c r="A6" s="538" t="s">
        <v>842</v>
      </c>
      <c r="B6" s="539">
        <f>SUM(B7:B13)</f>
        <v>57746290.449000001</v>
      </c>
      <c r="C6" s="539">
        <f>SUM(C9:C13)</f>
        <v>286437466.13000005</v>
      </c>
      <c r="D6" s="539">
        <f>SUM(D7:D13)</f>
        <v>9777371.7335000001</v>
      </c>
      <c r="E6" s="539">
        <f>SUM(E9:E13)</f>
        <v>296379214.98000002</v>
      </c>
      <c r="F6" s="539">
        <f>SUM(F9:F13)</f>
        <v>9941748.8500000052</v>
      </c>
      <c r="G6" s="540">
        <f>F6/B6</f>
        <v>0.17216255403938535</v>
      </c>
      <c r="H6" s="540">
        <f t="shared" ref="H6:H28" si="0">F6/D6</f>
        <v>1.0168119941616625</v>
      </c>
      <c r="I6" s="539">
        <f>SUM(I7:I13)</f>
        <v>12627122.308499999</v>
      </c>
      <c r="J6" s="539">
        <f>SUM(J9:J13)</f>
        <v>298555522.47999996</v>
      </c>
      <c r="K6" s="539">
        <f>SUM(K7:K13)</f>
        <v>13806987.390000012</v>
      </c>
      <c r="L6" s="540">
        <f t="shared" ref="L6:L28" si="1">K6/B6</f>
        <v>0.2390973910643486</v>
      </c>
      <c r="M6" s="540">
        <f t="shared" ref="M6:M28" si="2">K6/I6</f>
        <v>1.0934389524924282</v>
      </c>
      <c r="N6" s="539">
        <f>SUM(N7:N13)</f>
        <v>16997790.498</v>
      </c>
      <c r="O6" s="539">
        <f>SUM(O9:O13)</f>
        <v>304169168.9799999</v>
      </c>
      <c r="P6" s="539">
        <f>SUM(P7:P13)</f>
        <v>20092558.169999983</v>
      </c>
      <c r="Q6" s="540">
        <f>P6/B6</f>
        <v>0.34794543534783762</v>
      </c>
      <c r="R6" s="540">
        <f t="shared" ref="R6:R28" si="3">P6/N6</f>
        <v>1.1820688207896268</v>
      </c>
      <c r="S6" s="539">
        <f>SUM(S7:S13)</f>
        <v>22147422.462499999</v>
      </c>
      <c r="T6" s="539">
        <f>SUM(T9:T13)</f>
        <v>309200149.75000006</v>
      </c>
      <c r="U6" s="539">
        <f>SUM(U7:U13)</f>
        <v>25502527.790000059</v>
      </c>
      <c r="V6" s="540">
        <f>U6/B6</f>
        <v>0.44163058079935397</v>
      </c>
      <c r="W6" s="540">
        <f t="shared" ref="W6:W13" si="4">U6/S6</f>
        <v>1.1514896522690585</v>
      </c>
      <c r="X6" s="539">
        <f>SUM(X7:X13)</f>
        <v>26035122.706</v>
      </c>
      <c r="Y6" s="539">
        <f>SUM(Y9:Y13)</f>
        <v>312932536.75000006</v>
      </c>
      <c r="Z6" s="539">
        <f>SUM(Z7:Z13)</f>
        <v>29710180.670000017</v>
      </c>
      <c r="AA6" s="540">
        <f t="shared" ref="AA6:AA28" si="5">Z6/B6</f>
        <v>0.51449505135293949</v>
      </c>
      <c r="AB6" s="540">
        <f t="shared" ref="AB6" si="6">Z6/X6</f>
        <v>1.1411576970656285</v>
      </c>
      <c r="AC6" s="539">
        <f>SUM(AC7:AC13)</f>
        <v>31366221.596499998</v>
      </c>
      <c r="AD6" s="539">
        <f>SUM(AD9:AD13)</f>
        <v>316226124.79999995</v>
      </c>
      <c r="AE6" s="539">
        <f>SUM(AE7:AE13)</f>
        <v>33670441.639999963</v>
      </c>
      <c r="AF6" s="540">
        <f t="shared" ref="AF6:AF28" si="7">AE6/B6</f>
        <v>0.58307540412031844</v>
      </c>
      <c r="AG6" s="540">
        <f t="shared" ref="AG6:AG28" si="8">AE6/AC6</f>
        <v>1.0734618301541643</v>
      </c>
      <c r="AH6" s="539">
        <f>SUM(AH7:AH13)</f>
        <v>36573266.467000008</v>
      </c>
      <c r="AI6" s="539">
        <f>SUM(AI9:AI13)</f>
        <v>320024775.62999994</v>
      </c>
      <c r="AJ6" s="539">
        <f>SUM(AJ7:AJ13)</f>
        <v>38024631.489999957</v>
      </c>
      <c r="AK6" s="540">
        <f t="shared" ref="AK6:AK8" si="9">AJ6/B6</f>
        <v>0.65847747438568904</v>
      </c>
      <c r="AL6" s="540">
        <f>AJ6/AH6</f>
        <v>1.0396837680415971</v>
      </c>
      <c r="AM6" s="539">
        <f>AJ6-AH6</f>
        <v>1451365.0229999498</v>
      </c>
      <c r="AN6" s="539">
        <f>SUM(AN7:AN13)</f>
        <v>40360393.327500001</v>
      </c>
      <c r="AO6" s="539">
        <f>SUM(AO7:AO13)</f>
        <v>359942258.50999999</v>
      </c>
      <c r="AP6" s="539">
        <f>SUM(AP7:AP13)</f>
        <v>42318792.699999988</v>
      </c>
      <c r="AQ6" s="540">
        <f t="shared" ref="AQ6:AQ28" si="10">AP6/B6</f>
        <v>0.73284002090792011</v>
      </c>
      <c r="AR6" s="540">
        <f t="shared" ref="AR6:AR28" si="11">AP6/AN6</f>
        <v>1.0485228019610406</v>
      </c>
      <c r="AS6" s="539">
        <f>SUM(AS7:AS13)</f>
        <v>1958399.3724999849</v>
      </c>
      <c r="AT6" s="541">
        <f>SUM(AT7:AT13)</f>
        <v>44055260.269500002</v>
      </c>
      <c r="AU6" s="539">
        <f>SUM(AU9:AU13)</f>
        <v>0</v>
      </c>
      <c r="AV6" s="539">
        <f>SUM(AV7:AV13)</f>
        <v>0</v>
      </c>
      <c r="AW6" s="540"/>
      <c r="AX6" s="542"/>
      <c r="AY6" s="539">
        <f>SUM(AY7:AY13)</f>
        <v>49426888.730999999</v>
      </c>
      <c r="AZ6" s="539">
        <f>SUM(AZ9:AZ13)</f>
        <v>0</v>
      </c>
      <c r="BA6" s="539">
        <f>SUM(BA7:BA13)</f>
        <v>0</v>
      </c>
      <c r="BB6" s="540"/>
      <c r="BC6" s="542"/>
      <c r="BD6" s="539"/>
      <c r="BE6" s="539"/>
      <c r="BF6" s="540"/>
    </row>
    <row r="7" spans="1:58" ht="15">
      <c r="A7" s="543" t="s">
        <v>843</v>
      </c>
      <c r="B7" s="544">
        <f>[1]Mērķi_apst_MK_120313!CB20</f>
        <v>6332704.6529999999</v>
      </c>
      <c r="C7" s="544">
        <f>[1]Mērķi_apst_MK_120313!K20</f>
        <v>21618400.82</v>
      </c>
      <c r="D7" s="544">
        <f>[1]Mērķi_apst_MK_120313!R20</f>
        <v>165865.32</v>
      </c>
      <c r="E7" s="544">
        <f>[1]Mērķi_apst_MK_120313!S20</f>
        <v>22920800</v>
      </c>
      <c r="F7" s="544">
        <f>E7-C7</f>
        <v>1302399.1799999997</v>
      </c>
      <c r="G7" s="545">
        <f>F7/B7</f>
        <v>0.20566239093165548</v>
      </c>
      <c r="H7" s="546">
        <f>F7/D7</f>
        <v>7.8521488397936325</v>
      </c>
      <c r="I7" s="544">
        <f>[1]Mērķi_apst_MK_120313!Y20</f>
        <v>699880.32000000007</v>
      </c>
      <c r="J7" s="544">
        <f>[1]Mērķi_apst_MK_120313!Z20</f>
        <v>22926139.25</v>
      </c>
      <c r="K7" s="544">
        <f>J7-C7</f>
        <v>1307738.4299999997</v>
      </c>
      <c r="L7" s="545">
        <f>K7/B7</f>
        <v>0.20650551409822707</v>
      </c>
      <c r="M7" s="546">
        <f>K7/I7</f>
        <v>1.8685172202013047</v>
      </c>
      <c r="N7" s="544">
        <f>[1]Mērķi_apst_MK_120313!AF20</f>
        <v>1138003.32</v>
      </c>
      <c r="O7" s="544">
        <f>[1]Mērķi_apst_MK_120313!AG20</f>
        <v>23598063.530000001</v>
      </c>
      <c r="P7" s="544">
        <f>O7-C7</f>
        <v>1979662.7100000009</v>
      </c>
      <c r="Q7" s="545">
        <f>P7/B7</f>
        <v>0.31260935389781253</v>
      </c>
      <c r="R7" s="546">
        <f>P7/N7</f>
        <v>1.7395930883575987</v>
      </c>
      <c r="S7" s="547">
        <f>[1]Mērķi_apst_MK_120313!AM20</f>
        <v>1811436.32</v>
      </c>
      <c r="T7" s="544">
        <f>[1]Mērķi_apst_MK_120313!AN20</f>
        <v>23763342.399999999</v>
      </c>
      <c r="U7" s="547">
        <f>T7-C7</f>
        <v>2144941.5799999982</v>
      </c>
      <c r="V7" s="545">
        <f>U7/B7</f>
        <v>0.33870860833275596</v>
      </c>
      <c r="W7" s="546">
        <f>U7/S7</f>
        <v>1.1841109490395987</v>
      </c>
      <c r="X7" s="547">
        <f>[1]Mērķi_apst_MK_120313!AT20</f>
        <v>2338141.3200000003</v>
      </c>
      <c r="Y7" s="544">
        <f>[1]Mērķi_apst_MK_120313!AU20</f>
        <v>24085662.609999999</v>
      </c>
      <c r="Z7" s="547">
        <f>Y7-C7</f>
        <v>2467261.7899999991</v>
      </c>
      <c r="AA7" s="545">
        <f>Z7/B7</f>
        <v>0.38960632544756058</v>
      </c>
      <c r="AB7" s="546">
        <f>Z7/X7</f>
        <v>1.0552235525267561</v>
      </c>
      <c r="AC7" s="544">
        <f>[1]Mērķi_apst_MK_120313!BA20</f>
        <v>2901384.3200000003</v>
      </c>
      <c r="AD7" s="544">
        <f>[1]Mērķi_apst_MK_120313!BB20</f>
        <v>24749520.130000003</v>
      </c>
      <c r="AE7" s="547">
        <f>AD7-C7</f>
        <v>3131119.3100000024</v>
      </c>
      <c r="AF7" s="545">
        <f>AE7/B7</f>
        <v>0.49443633985309793</v>
      </c>
      <c r="AG7" s="546">
        <f>AE7/AC7</f>
        <v>1.079181164803428</v>
      </c>
      <c r="AH7" s="544">
        <f>[1]Mērķi_apst_MK_120313!BH20</f>
        <v>3395306.3200000003</v>
      </c>
      <c r="AI7" s="544">
        <f>[1]Mērķi_apst_MK_120313!BI20</f>
        <v>24868570.990000002</v>
      </c>
      <c r="AJ7" s="544">
        <f>AI7-C7</f>
        <v>3250170.1700000018</v>
      </c>
      <c r="AK7" s="545">
        <f t="shared" si="9"/>
        <v>0.51323571018905711</v>
      </c>
      <c r="AL7" s="546">
        <f>AJ7/AH7</f>
        <v>0.95725388630030928</v>
      </c>
      <c r="AM7" s="544">
        <f>AJ7-AH7</f>
        <v>-145136.14999999851</v>
      </c>
      <c r="AN7" s="544">
        <f>[1]Mērķi_apst_MK_120313!BO20</f>
        <v>3765833.3200000003</v>
      </c>
      <c r="AO7" s="544">
        <f>[1]Mērķi_apst_MK_120313!BP20</f>
        <v>25097554.030000001</v>
      </c>
      <c r="AP7" s="544">
        <f>AO7-C7</f>
        <v>3479153.2100000009</v>
      </c>
      <c r="AQ7" s="545">
        <f t="shared" si="10"/>
        <v>0.54939451634647407</v>
      </c>
      <c r="AR7" s="546">
        <f t="shared" si="11"/>
        <v>0.92387339384420775</v>
      </c>
      <c r="AS7" s="544">
        <f>AP7-AN7</f>
        <v>-286680.1099999994</v>
      </c>
      <c r="AT7" s="548">
        <f>[1]Mērķi_apst_MK_120313!BV20</f>
        <v>4350159.32</v>
      </c>
      <c r="AU7" s="544"/>
      <c r="AV7" s="544"/>
      <c r="AW7" s="545"/>
      <c r="AX7" s="549"/>
      <c r="AY7" s="544">
        <f>[1]Mērķi_apst_MK_120313!BY20</f>
        <v>4795498.32</v>
      </c>
      <c r="AZ7" s="544"/>
      <c r="BA7" s="544"/>
      <c r="BB7" s="545"/>
      <c r="BC7" s="549"/>
      <c r="BD7" s="544"/>
      <c r="BE7" s="544"/>
      <c r="BF7" s="545"/>
    </row>
    <row r="8" spans="1:58" ht="15">
      <c r="A8" s="543" t="s">
        <v>844</v>
      </c>
      <c r="B8" s="544">
        <f>[1]Mērķi_apst_MK_120313!CB26</f>
        <v>2677447.8499999996</v>
      </c>
      <c r="C8" s="544">
        <f>[1]Mērķi_apst_MK_120313!K26</f>
        <v>9567598.8599999994</v>
      </c>
      <c r="D8" s="544">
        <f>[1]Mērķi_apst_MK_120313!R26</f>
        <v>346237.69</v>
      </c>
      <c r="E8" s="544">
        <f>[1]Mērķi_apst_MK_120313!S26</f>
        <v>9867819.5599999987</v>
      </c>
      <c r="F8" s="544">
        <f>E8-C8</f>
        <v>300220.69999999925</v>
      </c>
      <c r="G8" s="545">
        <f>F8/B8</f>
        <v>0.11212942952371577</v>
      </c>
      <c r="H8" s="546">
        <f>F8/D8</f>
        <v>0.86709422073604769</v>
      </c>
      <c r="I8" s="544">
        <f>[1]Mērķi_apst_MK_120313!Y26</f>
        <v>521461.18</v>
      </c>
      <c r="J8" s="544">
        <f>[1]Mērķi_apst_MK_120313!Z26</f>
        <v>9948791.4699999988</v>
      </c>
      <c r="K8" s="544">
        <f>J8-C8</f>
        <v>381192.6099999994</v>
      </c>
      <c r="L8" s="545">
        <f>K8/B8</f>
        <v>0.14237162826532718</v>
      </c>
      <c r="M8" s="546">
        <f>K8/I8</f>
        <v>0.73100860547279745</v>
      </c>
      <c r="N8" s="544">
        <f>[1]Mērķi_apst_MK_120313!AF26</f>
        <v>522157.7</v>
      </c>
      <c r="O8" s="544">
        <f>[1]Mērķi_apst_MK_120313!AG26</f>
        <v>9948791.4699999988</v>
      </c>
      <c r="P8" s="544">
        <f>O8-C8</f>
        <v>381192.6099999994</v>
      </c>
      <c r="Q8" s="545">
        <f>P8/B8</f>
        <v>0.14237162826532718</v>
      </c>
      <c r="R8" s="546">
        <f>P8/N8</f>
        <v>0.73003349371272208</v>
      </c>
      <c r="S8" s="547">
        <f>[1]Mērķi_apst_MK_120313!AM26</f>
        <v>969092.92999999993</v>
      </c>
      <c r="T8" s="544">
        <f>[1]Mērķi_apst_MK_120313!AN26</f>
        <v>10162501.449999999</v>
      </c>
      <c r="U8" s="547">
        <f>T8-C8</f>
        <v>594902.58999999985</v>
      </c>
      <c r="V8" s="545">
        <f>U8/B8</f>
        <v>0.22219016889535306</v>
      </c>
      <c r="W8" s="546">
        <f>U8/S8</f>
        <v>0.6138756888877519</v>
      </c>
      <c r="X8" s="547">
        <f>[1]Mērķi_apst_MK_120313!AT26</f>
        <v>1166186.18</v>
      </c>
      <c r="Y8" s="544">
        <f>[1]Mērķi_apst_MK_120313!AU26</f>
        <v>10315447.119999999</v>
      </c>
      <c r="Z8" s="547">
        <f>Y8-C8</f>
        <v>747848.25999999978</v>
      </c>
      <c r="AA8" s="545">
        <f>Z8/B8</f>
        <v>0.27931384732666215</v>
      </c>
      <c r="AB8" s="546">
        <f>Z8/X8</f>
        <v>0.64127690142923821</v>
      </c>
      <c r="AC8" s="544">
        <f>[1]Mērķi_apst_MK_120313!BA26</f>
        <v>1166186.18</v>
      </c>
      <c r="AD8" s="544">
        <f>[1]Mērķi_apst_MK_120313!BB26</f>
        <v>10318262.52</v>
      </c>
      <c r="AE8" s="547">
        <f>AD8-C8</f>
        <v>750663.66000000015</v>
      </c>
      <c r="AF8" s="545">
        <f>AE8/B8</f>
        <v>0.2803653710752948</v>
      </c>
      <c r="AG8" s="550">
        <f>AE8/AC8</f>
        <v>0.64369109570480432</v>
      </c>
      <c r="AH8" s="544">
        <f>[1]Mērķi_apst_MK_120313!BH26</f>
        <v>1696201.5999999999</v>
      </c>
      <c r="AI8" s="544">
        <f>[1]Mērķi_apst_MK_120313!BI26</f>
        <v>10754750.680000002</v>
      </c>
      <c r="AJ8" s="544">
        <f t="shared" ref="AJ8:AJ27" si="12">AI8-C8</f>
        <v>1187151.8200000022</v>
      </c>
      <c r="AK8" s="545">
        <f t="shared" si="9"/>
        <v>0.44338933436182609</v>
      </c>
      <c r="AL8" s="550">
        <f t="shared" ref="AL8:AL27" si="13">AJ8/AH8</f>
        <v>0.69988839769989741</v>
      </c>
      <c r="AM8" s="544">
        <f t="shared" ref="AM8:AM28" si="14">AJ8-AH8</f>
        <v>-509049.7799999977</v>
      </c>
      <c r="AN8" s="544">
        <f>[1]Mērķi_apst_MK_120313!BO26</f>
        <v>1897588.1199999999</v>
      </c>
      <c r="AO8" s="544">
        <f>[1]Mērķi_apst_MK_120313!BP26</f>
        <v>10873592.930000002</v>
      </c>
      <c r="AP8" s="544">
        <f t="shared" ref="AP8:AP13" si="15">AO8-C8</f>
        <v>1305994.0700000022</v>
      </c>
      <c r="AQ8" s="545">
        <f t="shared" si="10"/>
        <v>0.48777572642544742</v>
      </c>
      <c r="AR8" s="550">
        <f t="shared" si="11"/>
        <v>0.68823895777762467</v>
      </c>
      <c r="AS8" s="628">
        <f t="shared" ref="AS8:AS27" si="16">AP8-AN8</f>
        <v>-591594.04999999772</v>
      </c>
      <c r="AT8" s="548">
        <f>[1]Mērķi_apst_MK_120313!BV26</f>
        <v>1898140.24</v>
      </c>
      <c r="AU8" s="544"/>
      <c r="AV8" s="544"/>
      <c r="AW8" s="545"/>
      <c r="AX8" s="549"/>
      <c r="AY8" s="544">
        <f>[1]Mērķi_apst_MK_120313!BY26</f>
        <v>2477339.83</v>
      </c>
      <c r="AZ8" s="544"/>
      <c r="BA8" s="544"/>
      <c r="BB8" s="545"/>
      <c r="BC8" s="549"/>
      <c r="BD8" s="544"/>
      <c r="BE8" s="544"/>
      <c r="BF8" s="545"/>
    </row>
    <row r="9" spans="1:58" ht="15">
      <c r="A9" s="543" t="s">
        <v>845</v>
      </c>
      <c r="B9" s="544">
        <f>[1]Mērķi_apst_MK_120313!CB29</f>
        <v>15421295</v>
      </c>
      <c r="C9" s="544">
        <f>[1]Mērķi_apst_MK_120313!K29</f>
        <v>129914895.48000002</v>
      </c>
      <c r="D9" s="544">
        <f>[1]Mērķi_apst_MK_120313!R29</f>
        <v>1623709</v>
      </c>
      <c r="E9" s="544">
        <f>[1]Mērķi_apst_MK_120313!S29</f>
        <v>131798247.98</v>
      </c>
      <c r="F9" s="544">
        <f>E9-C9</f>
        <v>1883352.4999999851</v>
      </c>
      <c r="G9" s="545">
        <f>F9/B9</f>
        <v>0.12212674097732941</v>
      </c>
      <c r="H9" s="546">
        <f t="shared" si="0"/>
        <v>1.1599076558668979</v>
      </c>
      <c r="I9" s="544">
        <f>[1]Mērķi_apst_MK_120313!Y29</f>
        <v>1896020</v>
      </c>
      <c r="J9" s="544">
        <f>[1]Mērķi_apst_MK_120313!Z29</f>
        <v>132140534.33000001</v>
      </c>
      <c r="K9" s="544">
        <f t="shared" ref="K9:K13" si="17">J9-C9</f>
        <v>2225638.849999994</v>
      </c>
      <c r="L9" s="545">
        <f>K9/B9</f>
        <v>0.14432243530779965</v>
      </c>
      <c r="M9" s="546">
        <f>K9/I9</f>
        <v>1.1738477705931341</v>
      </c>
      <c r="N9" s="544">
        <f>[1]Mērķi_apst_MK_120313!AF29</f>
        <v>3312560</v>
      </c>
      <c r="O9" s="544">
        <f>[1]Mērķi_apst_MK_120313!AG29</f>
        <v>135751697.49000001</v>
      </c>
      <c r="P9" s="544">
        <f>O9-C9</f>
        <v>5836802.0099999905</v>
      </c>
      <c r="Q9" s="545">
        <f>P9/B9</f>
        <v>0.37848974486254172</v>
      </c>
      <c r="R9" s="546">
        <f t="shared" si="3"/>
        <v>1.7620215211196146</v>
      </c>
      <c r="S9" s="547">
        <f>[1]Mērķi_apst_MK_120313!AM29</f>
        <v>4559814</v>
      </c>
      <c r="T9" s="544">
        <f>[1]Mērķi_apst_MK_120313!AN29</f>
        <v>138213499.19000003</v>
      </c>
      <c r="U9" s="547">
        <f>T9-C9</f>
        <v>8298603.7100000083</v>
      </c>
      <c r="V9" s="545">
        <f>U9/B9</f>
        <v>0.53812625398839775</v>
      </c>
      <c r="W9" s="546">
        <f>U9/S9</f>
        <v>1.8199434691853678</v>
      </c>
      <c r="X9" s="547">
        <f>[1]Mērķi_apst_MK_120313!AT29</f>
        <v>5029906</v>
      </c>
      <c r="Y9" s="544">
        <f>[1]Mērķi_apst_MK_120313!AU29</f>
        <v>139311688.42000002</v>
      </c>
      <c r="Z9" s="547">
        <f t="shared" ref="Z9:Z13" si="18">Y9-C9</f>
        <v>9396792.9399999976</v>
      </c>
      <c r="AA9" s="545">
        <f t="shared" si="5"/>
        <v>0.60933877083604182</v>
      </c>
      <c r="AB9" s="546">
        <f>Z9/X9</f>
        <v>1.8681846022569801</v>
      </c>
      <c r="AC9" s="544">
        <f>[1]Mērķi_apst_MK_120313!BA29</f>
        <v>7267328</v>
      </c>
      <c r="AD9" s="544">
        <f>[1]Mērķi_apst_MK_120313!BB29</f>
        <v>139817698.86999997</v>
      </c>
      <c r="AE9" s="547">
        <f>AD9-C9</f>
        <v>9902803.3899999559</v>
      </c>
      <c r="AF9" s="545">
        <f>AE9/B9</f>
        <v>0.64215121946632603</v>
      </c>
      <c r="AG9" s="546">
        <f>AE9/AC9</f>
        <v>1.3626470953285659</v>
      </c>
      <c r="AH9" s="544">
        <f>[1]Mērķi_apst_MK_120313!BH29</f>
        <v>8532619</v>
      </c>
      <c r="AI9" s="544">
        <f>[1]Mērķi_apst_MK_120313!BI29</f>
        <v>140488637.81999999</v>
      </c>
      <c r="AJ9" s="544">
        <f t="shared" si="12"/>
        <v>10573742.339999974</v>
      </c>
      <c r="AK9" s="545">
        <f>AJ9/B9</f>
        <v>0.68565852219284917</v>
      </c>
      <c r="AL9" s="546">
        <f t="shared" si="13"/>
        <v>1.2392141662483669</v>
      </c>
      <c r="AM9" s="544">
        <f t="shared" si="14"/>
        <v>2041123.3399999738</v>
      </c>
      <c r="AN9" s="544">
        <f>[1]Mērķi_apst_MK_120313!BO29</f>
        <v>9044877</v>
      </c>
      <c r="AO9" s="544">
        <f>[1]Mērķi_apst_MK_120313!BP29</f>
        <v>142231409.08000001</v>
      </c>
      <c r="AP9" s="544">
        <f t="shared" si="15"/>
        <v>12316513.599999994</v>
      </c>
      <c r="AQ9" s="545">
        <f t="shared" si="10"/>
        <v>0.79866921681998782</v>
      </c>
      <c r="AR9" s="546">
        <f t="shared" si="11"/>
        <v>1.3617115633523811</v>
      </c>
      <c r="AS9" s="544">
        <f t="shared" si="16"/>
        <v>3271636.599999994</v>
      </c>
      <c r="AT9" s="548">
        <f>[1]Mērķi_apst_MK_120313!BV29</f>
        <v>9848975</v>
      </c>
      <c r="AU9" s="544"/>
      <c r="AV9" s="544"/>
      <c r="AW9" s="545"/>
      <c r="AX9" s="549"/>
      <c r="AY9" s="544">
        <f>[1]Mērķi_apst_MK_120313!BY29</f>
        <v>11582429</v>
      </c>
      <c r="AZ9" s="544"/>
      <c r="BA9" s="544"/>
      <c r="BB9" s="545"/>
      <c r="BC9" s="549"/>
      <c r="BD9" s="544"/>
      <c r="BE9" s="544"/>
      <c r="BF9" s="545"/>
    </row>
    <row r="10" spans="1:58" ht="15">
      <c r="A10" s="543" t="s">
        <v>846</v>
      </c>
      <c r="B10" s="544">
        <f>[1]Mērķi_apst_MK_120313!CB53</f>
        <v>29186115</v>
      </c>
      <c r="C10" s="544">
        <f>[1]Mērķi_apst_MK_120313!K53</f>
        <v>140361404.56999999</v>
      </c>
      <c r="D10" s="544">
        <f>[1]Mērķi_apst_MK_120313!R53</f>
        <v>6236852</v>
      </c>
      <c r="E10" s="544">
        <f>[1]Mērķi_apst_MK_120313!S53</f>
        <v>147175304.11000001</v>
      </c>
      <c r="F10" s="544">
        <f t="shared" ref="F10:F13" si="19">E10-C10</f>
        <v>6813899.5400000215</v>
      </c>
      <c r="G10" s="545">
        <f t="shared" ref="G10:G13" si="20">F10/B10</f>
        <v>0.23346373917871638</v>
      </c>
      <c r="H10" s="546">
        <f t="shared" si="0"/>
        <v>1.0925222435934061</v>
      </c>
      <c r="I10" s="544">
        <f>[1]Mērķi_apst_MK_120313!Y53</f>
        <v>7846068</v>
      </c>
      <c r="J10" s="544">
        <f>[1]Mērķi_apst_MK_120313!Z53</f>
        <v>148734495.05000001</v>
      </c>
      <c r="K10" s="544">
        <f t="shared" si="17"/>
        <v>8373090.4800000191</v>
      </c>
      <c r="L10" s="545">
        <f t="shared" si="1"/>
        <v>0.2868860922394097</v>
      </c>
      <c r="M10" s="546">
        <f t="shared" si="2"/>
        <v>1.0671702666864498</v>
      </c>
      <c r="N10" s="544">
        <f>[1]Mērķi_apst_MK_120313!AF53</f>
        <v>10010923</v>
      </c>
      <c r="O10" s="544">
        <f>[1]Mērķi_apst_MK_120313!AG53</f>
        <v>150612661.16999999</v>
      </c>
      <c r="P10" s="544">
        <f t="shared" ref="P10:P13" si="21">O10-C10</f>
        <v>10251256.599999994</v>
      </c>
      <c r="Q10" s="545">
        <f t="shared" ref="Q10:Q13" si="22">P10/B10</f>
        <v>0.35123744972566556</v>
      </c>
      <c r="R10" s="546">
        <f t="shared" si="3"/>
        <v>1.0240071370042496</v>
      </c>
      <c r="S10" s="547">
        <f>[1]Mērķi_apst_MK_120313!AM53</f>
        <v>12491659</v>
      </c>
      <c r="T10" s="544">
        <f>[1]Mērķi_apst_MK_120313!AN53</f>
        <v>152990921.42000005</v>
      </c>
      <c r="U10" s="547">
        <f t="shared" ref="U10:U27" si="23">T10-C10</f>
        <v>12629516.850000054</v>
      </c>
      <c r="V10" s="545">
        <f t="shared" ref="V10:V13" si="24">U10/B10</f>
        <v>0.43272346627840169</v>
      </c>
      <c r="W10" s="546">
        <f t="shared" si="4"/>
        <v>1.0110359920968106</v>
      </c>
      <c r="X10" s="547">
        <f>[1]Mērķi_apst_MK_120313!AT53</f>
        <v>14904342</v>
      </c>
      <c r="Y10" s="544">
        <f>[1]Mērķi_apst_MK_120313!AU53</f>
        <v>155506342.89000002</v>
      </c>
      <c r="Z10" s="547">
        <f t="shared" si="18"/>
        <v>15144938.320000023</v>
      </c>
      <c r="AA10" s="545">
        <f t="shared" si="5"/>
        <v>0.51890901958003055</v>
      </c>
      <c r="AB10" s="546">
        <f t="shared" ref="AB10:AB13" si="25">Z10/X10</f>
        <v>1.0161426998924221</v>
      </c>
      <c r="AC10" s="544">
        <f>[1]Mērķi_apst_MK_120313!BA53</f>
        <v>17313795</v>
      </c>
      <c r="AD10" s="544">
        <f>[1]Mērķi_apst_MK_120313!BB53</f>
        <v>158185046.44</v>
      </c>
      <c r="AE10" s="547">
        <f t="shared" ref="AE10:AE27" si="26">AD10-C10</f>
        <v>17823641.870000005</v>
      </c>
      <c r="AF10" s="545">
        <f t="shared" si="7"/>
        <v>0.61068908520370058</v>
      </c>
      <c r="AG10" s="546">
        <f t="shared" si="8"/>
        <v>1.029447435989626</v>
      </c>
      <c r="AH10" s="544">
        <f>[1]Mērķi_apst_MK_120313!BH53</f>
        <v>19678760</v>
      </c>
      <c r="AI10" s="544">
        <f>[1]Mērķi_apst_MK_120313!BI53</f>
        <v>160989856.86999997</v>
      </c>
      <c r="AJ10" s="544">
        <f t="shared" si="12"/>
        <v>20628452.299999982</v>
      </c>
      <c r="AK10" s="545">
        <f t="shared" ref="AK10:AK28" si="27">AJ10/B10</f>
        <v>0.70678993418616975</v>
      </c>
      <c r="AL10" s="546">
        <f t="shared" si="13"/>
        <v>1.0482597633184196</v>
      </c>
      <c r="AM10" s="544">
        <f t="shared" si="14"/>
        <v>949692.29999998212</v>
      </c>
      <c r="AN10" s="544">
        <f>[1]Mērķi_apst_MK_120313!BO53</f>
        <v>22212951</v>
      </c>
      <c r="AO10" s="544">
        <f>[1]Mērķi_apst_MK_120313!BP53</f>
        <v>163104061.51999998</v>
      </c>
      <c r="AP10" s="544">
        <f t="shared" si="15"/>
        <v>22742656.949999988</v>
      </c>
      <c r="AQ10" s="545">
        <f t="shared" si="10"/>
        <v>0.77922864862281216</v>
      </c>
      <c r="AR10" s="546">
        <f t="shared" si="11"/>
        <v>1.0238467167194485</v>
      </c>
      <c r="AS10" s="544">
        <f t="shared" si="16"/>
        <v>529705.94999998808</v>
      </c>
      <c r="AT10" s="548">
        <f>[1]Mērķi_apst_MK_120313!BV53</f>
        <v>24347162</v>
      </c>
      <c r="AU10" s="544"/>
      <c r="AV10" s="544"/>
      <c r="AW10" s="545"/>
      <c r="AX10" s="549"/>
      <c r="AY10" s="544">
        <f>[1]Mērķi_apst_MK_120313!BY53</f>
        <v>26592010</v>
      </c>
      <c r="AZ10" s="544"/>
      <c r="BA10" s="544"/>
      <c r="BB10" s="545"/>
      <c r="BC10" s="549"/>
      <c r="BD10" s="544"/>
      <c r="BE10" s="544"/>
      <c r="BF10" s="545"/>
    </row>
    <row r="11" spans="1:58" ht="15">
      <c r="A11" s="551" t="s">
        <v>847</v>
      </c>
      <c r="B11" s="544">
        <f>[1]Mērķi_apst_MK_120313!CB69</f>
        <v>687224.55999999994</v>
      </c>
      <c r="C11" s="544">
        <f>[1]Mērķi_apst_MK_120313!K69</f>
        <v>4108704.98</v>
      </c>
      <c r="D11" s="544">
        <f>[1]Mērķi_apst_MK_120313!R69</f>
        <v>193858.71</v>
      </c>
      <c r="E11" s="544">
        <f>[1]Mērķi_apst_MK_120313!S69</f>
        <v>4210465.41</v>
      </c>
      <c r="F11" s="544">
        <f>E11-C11</f>
        <v>101760.43000000017</v>
      </c>
      <c r="G11" s="545">
        <f>F11/B11</f>
        <v>0.14807449547495824</v>
      </c>
      <c r="H11" s="546">
        <f>F11/D11</f>
        <v>0.52492059809951364</v>
      </c>
      <c r="I11" s="544">
        <f>[1]Mērķi_apst_MK_120313!Y69</f>
        <v>315180.92000000004</v>
      </c>
      <c r="J11" s="544">
        <f>[1]Mērķi_apst_MK_120313!Z69</f>
        <v>4259693.83</v>
      </c>
      <c r="K11" s="544">
        <f>J11-C11</f>
        <v>150988.85000000009</v>
      </c>
      <c r="L11" s="545">
        <f>K11/B11</f>
        <v>0.21970816933550819</v>
      </c>
      <c r="M11" s="546">
        <f>K11/I11</f>
        <v>0.47905453794601549</v>
      </c>
      <c r="N11" s="544">
        <f>[1]Mērķi_apst_MK_120313!AF69</f>
        <v>348409.64</v>
      </c>
      <c r="O11" s="544">
        <f>[1]Mērķi_apst_MK_120313!AG69</f>
        <v>4284362.46</v>
      </c>
      <c r="P11" s="544">
        <f>O11-C11</f>
        <v>175657.47999999998</v>
      </c>
      <c r="Q11" s="545">
        <f>P11/B11</f>
        <v>0.2556041943553356</v>
      </c>
      <c r="R11" s="546">
        <f>P11/N11</f>
        <v>0.50416940243100039</v>
      </c>
      <c r="S11" s="547">
        <f>[1]Mērķi_apst_MK_120313!AM69</f>
        <v>447804.3</v>
      </c>
      <c r="T11" s="544">
        <f>[1]Mērķi_apst_MK_120313!AN69</f>
        <v>4321841.25</v>
      </c>
      <c r="U11" s="547">
        <f>T11-C11</f>
        <v>213136.27000000002</v>
      </c>
      <c r="V11" s="545">
        <f>U11/B11</f>
        <v>0.31014064747627768</v>
      </c>
      <c r="W11" s="546">
        <f>U11/S11</f>
        <v>0.47595851580701665</v>
      </c>
      <c r="X11" s="547">
        <f>[1]Mērķi_apst_MK_120313!AT69</f>
        <v>495532.47</v>
      </c>
      <c r="Y11" s="544">
        <f>[1]Mērķi_apst_MK_120313!AU69</f>
        <v>4356357.9400000004</v>
      </c>
      <c r="Z11" s="547">
        <f>Y11-C11</f>
        <v>247652.96000000043</v>
      </c>
      <c r="AA11" s="545">
        <f>Z11/B11</f>
        <v>0.36036686465338263</v>
      </c>
      <c r="AB11" s="546">
        <f>Z11/X11</f>
        <v>0.49977140751240873</v>
      </c>
      <c r="AC11" s="544">
        <f>[1]Mērķi_apst_MK_120313!BA69</f>
        <v>512206.43999999994</v>
      </c>
      <c r="AD11" s="544">
        <f>[1]Mērķi_apst_MK_120313!BB69</f>
        <v>4357152.12</v>
      </c>
      <c r="AE11" s="547">
        <f>AD11-C11</f>
        <v>248447.14000000013</v>
      </c>
      <c r="AF11" s="545">
        <f>AE11/B11</f>
        <v>0.36152249855563973</v>
      </c>
      <c r="AG11" s="550">
        <f>AE11/AC11</f>
        <v>0.48505274552971289</v>
      </c>
      <c r="AH11" s="544">
        <f>[1]Mērķi_apst_MK_120313!BH69</f>
        <v>564335.99</v>
      </c>
      <c r="AI11" s="544">
        <f>[1]Mērķi_apst_MK_120313!BI69</f>
        <v>4370187.46</v>
      </c>
      <c r="AJ11" s="544">
        <f t="shared" si="12"/>
        <v>261482.47999999998</v>
      </c>
      <c r="AK11" s="545">
        <f t="shared" si="27"/>
        <v>0.38049059247824324</v>
      </c>
      <c r="AL11" s="550">
        <f t="shared" si="13"/>
        <v>0.46334539110291367</v>
      </c>
      <c r="AM11" s="544">
        <f t="shared" si="14"/>
        <v>-302853.51</v>
      </c>
      <c r="AN11" s="544">
        <f>[1]Mērķi_apst_MK_120313!BO69</f>
        <v>638621.44999999995</v>
      </c>
      <c r="AO11" s="544">
        <f>[1]Mērķi_apst_MK_120313!BP69</f>
        <v>4394916.18</v>
      </c>
      <c r="AP11" s="544">
        <f t="shared" si="15"/>
        <v>286211.19999999972</v>
      </c>
      <c r="AQ11" s="545">
        <f t="shared" si="10"/>
        <v>0.41647405616586192</v>
      </c>
      <c r="AR11" s="550">
        <f t="shared" si="11"/>
        <v>0.44817035193540672</v>
      </c>
      <c r="AS11" s="628">
        <f t="shared" si="16"/>
        <v>-352410.25000000023</v>
      </c>
      <c r="AT11" s="548">
        <f>[1]Mērķi_apst_MK_120313!BV69</f>
        <v>646856.35999999987</v>
      </c>
      <c r="AU11" s="544"/>
      <c r="AV11" s="544"/>
      <c r="AW11" s="545"/>
      <c r="AX11" s="549"/>
      <c r="AY11" s="544">
        <f>[1]Mērķi_apst_MK_120313!BY69</f>
        <v>669121.35999999987</v>
      </c>
      <c r="AZ11" s="544"/>
      <c r="BA11" s="544"/>
      <c r="BB11" s="545"/>
      <c r="BC11" s="549"/>
      <c r="BD11" s="544"/>
      <c r="BE11" s="544"/>
      <c r="BF11" s="545"/>
    </row>
    <row r="12" spans="1:58" ht="15">
      <c r="A12" s="543" t="s">
        <v>848</v>
      </c>
      <c r="B12" s="544">
        <f>[1]Mērķi_apst_MK_120313!CB72</f>
        <v>1488837.7699999998</v>
      </c>
      <c r="C12" s="544">
        <f>[1]Mērķi_apst_MK_120313!K72</f>
        <v>6549643.6299999999</v>
      </c>
      <c r="D12" s="544">
        <f>[1]Mērķi_apst_MK_120313!R72</f>
        <v>946225.19</v>
      </c>
      <c r="E12" s="544">
        <f>[1]Mērķi_apst_MK_120313!S72</f>
        <v>7496756.3399999999</v>
      </c>
      <c r="F12" s="544">
        <f>E12-C12</f>
        <v>947112.71</v>
      </c>
      <c r="G12" s="545">
        <f>F12/B12</f>
        <v>0.63614231791016429</v>
      </c>
      <c r="H12" s="546">
        <f>F12/D12</f>
        <v>1.0009379585424059</v>
      </c>
      <c r="I12" s="544">
        <f>[1]Mērķi_apst_MK_120313!Y72</f>
        <v>946225.19</v>
      </c>
      <c r="J12" s="544">
        <f>[1]Mērķi_apst_MK_120313!Z72</f>
        <v>7510651.1500000004</v>
      </c>
      <c r="K12" s="544">
        <f>J12-C12</f>
        <v>961007.52000000048</v>
      </c>
      <c r="L12" s="545">
        <f>K12/B12</f>
        <v>0.64547497340828519</v>
      </c>
      <c r="M12" s="546">
        <f>K12/I12</f>
        <v>1.0156224228188224</v>
      </c>
      <c r="N12" s="544">
        <f>[1]Mērķi_apst_MK_120313!AF72</f>
        <v>946225.19</v>
      </c>
      <c r="O12" s="544">
        <f>[1]Mērķi_apst_MK_120313!AG72</f>
        <v>7510651.1500000004</v>
      </c>
      <c r="P12" s="544">
        <f>O12-C12</f>
        <v>961007.52000000048</v>
      </c>
      <c r="Q12" s="545">
        <f>P12/B12</f>
        <v>0.64547497340828519</v>
      </c>
      <c r="R12" s="546">
        <f>P12/N12</f>
        <v>1.0156224228188224</v>
      </c>
      <c r="S12" s="547">
        <f>[1]Mērķi_apst_MK_120313!AM72</f>
        <v>1001525.9199999999</v>
      </c>
      <c r="T12" s="544">
        <f>[1]Mērķi_apst_MK_120313!AN72</f>
        <v>7510651.1500000004</v>
      </c>
      <c r="U12" s="547">
        <f>T12-C12</f>
        <v>961007.52000000048</v>
      </c>
      <c r="V12" s="545">
        <f>U12/B12</f>
        <v>0.64547497340828519</v>
      </c>
      <c r="W12" s="546">
        <f>U12/S12</f>
        <v>0.95954333363633815</v>
      </c>
      <c r="X12" s="547">
        <f>[1]Mērķi_apst_MK_120313!AT72</f>
        <v>1001525.9199999999</v>
      </c>
      <c r="Y12" s="544">
        <f>[1]Mērķi_apst_MK_120313!AU72</f>
        <v>7510651.1500000004</v>
      </c>
      <c r="Z12" s="547">
        <f>Y12-C12</f>
        <v>961007.52000000048</v>
      </c>
      <c r="AA12" s="545">
        <f>Z12/B12</f>
        <v>0.64547497340828519</v>
      </c>
      <c r="AB12" s="546">
        <f>Z12/X12</f>
        <v>0.95954333363633815</v>
      </c>
      <c r="AC12" s="544">
        <f>[1]Mērķi_apst_MK_120313!BA72</f>
        <v>1001525.9199999999</v>
      </c>
      <c r="AD12" s="544">
        <f>[1]Mērķi_apst_MK_120313!BB72</f>
        <v>7510651.1500000004</v>
      </c>
      <c r="AE12" s="547">
        <f>AD12-C12</f>
        <v>961007.52000000048</v>
      </c>
      <c r="AF12" s="545">
        <f>AE12/B12</f>
        <v>0.64547497340828519</v>
      </c>
      <c r="AG12" s="546">
        <f>AE12/AC12</f>
        <v>0.95954333363633815</v>
      </c>
      <c r="AH12" s="544">
        <f>[1]Mērķi_apst_MK_120313!BH72</f>
        <v>1309146.1399999999</v>
      </c>
      <c r="AI12" s="544">
        <f>[1]Mērķi_apst_MK_120313!BI72</f>
        <v>7693010.6900000004</v>
      </c>
      <c r="AJ12" s="544">
        <f t="shared" si="12"/>
        <v>1143367.0600000005</v>
      </c>
      <c r="AK12" s="545">
        <f t="shared" si="27"/>
        <v>0.76795946679939531</v>
      </c>
      <c r="AL12" s="550">
        <f t="shared" si="13"/>
        <v>0.87336854539402342</v>
      </c>
      <c r="AM12" s="544">
        <f t="shared" si="14"/>
        <v>-165779.07999999938</v>
      </c>
      <c r="AN12" s="544">
        <f>[1]Mērķi_apst_MK_120313!BO72</f>
        <v>1309146.1399999999</v>
      </c>
      <c r="AO12" s="544">
        <f>[1]Mērķi_apst_MK_120313!BP72</f>
        <v>7693010.6900000004</v>
      </c>
      <c r="AP12" s="544">
        <f t="shared" si="15"/>
        <v>1143367.0600000005</v>
      </c>
      <c r="AQ12" s="545">
        <f t="shared" si="10"/>
        <v>0.76795946679939531</v>
      </c>
      <c r="AR12" s="550">
        <f t="shared" si="11"/>
        <v>0.87336854539402342</v>
      </c>
      <c r="AS12" s="628">
        <f t="shared" si="16"/>
        <v>-165779.07999999938</v>
      </c>
      <c r="AT12" s="548">
        <f>[1]Mērķi_apst_MK_120313!BV72</f>
        <v>1309146.1399999999</v>
      </c>
      <c r="AU12" s="544"/>
      <c r="AV12" s="544"/>
      <c r="AW12" s="545"/>
      <c r="AX12" s="549"/>
      <c r="AY12" s="544">
        <f>[1]Mērķi_apst_MK_120313!BY72</f>
        <v>1488837.7699999998</v>
      </c>
      <c r="AZ12" s="544"/>
      <c r="BA12" s="544"/>
      <c r="BB12" s="545"/>
      <c r="BC12" s="549"/>
      <c r="BD12" s="544"/>
      <c r="BE12" s="544"/>
      <c r="BF12" s="545"/>
    </row>
    <row r="13" spans="1:58" ht="15">
      <c r="A13" s="543" t="s">
        <v>849</v>
      </c>
      <c r="B13" s="544">
        <f>[1]Mērķi_apst_MK_120313!CB76</f>
        <v>1952665.6159999999</v>
      </c>
      <c r="C13" s="544">
        <f>[1]Mērķi_apst_MK_120313!K76</f>
        <v>5502817.4700000007</v>
      </c>
      <c r="D13" s="544">
        <f>[1]Mērķi_apst_MK_120313!R76</f>
        <v>264623.8235</v>
      </c>
      <c r="E13" s="544">
        <f>[1]Mērķi_apst_MK_120313!S76</f>
        <v>5698441.1399999997</v>
      </c>
      <c r="F13" s="544">
        <f t="shared" si="19"/>
        <v>195623.66999999899</v>
      </c>
      <c r="G13" s="545">
        <f t="shared" si="20"/>
        <v>0.10018288251560989</v>
      </c>
      <c r="H13" s="546">
        <f t="shared" si="0"/>
        <v>0.73925192151113706</v>
      </c>
      <c r="I13" s="544">
        <f>[1]Mērķi_apst_MK_120313!Y76</f>
        <v>402286.6985</v>
      </c>
      <c r="J13" s="544">
        <f>[1]Mērķi_apst_MK_120313!Z76</f>
        <v>5910148.1199999992</v>
      </c>
      <c r="K13" s="544">
        <f t="shared" si="17"/>
        <v>407330.64999999851</v>
      </c>
      <c r="L13" s="545">
        <f t="shared" si="1"/>
        <v>0.20860235703561369</v>
      </c>
      <c r="M13" s="546">
        <f t="shared" si="2"/>
        <v>1.0125382010362407</v>
      </c>
      <c r="N13" s="544">
        <f>[1]Mērķi_apst_MK_120313!AF76</f>
        <v>719511.64800000004</v>
      </c>
      <c r="O13" s="544">
        <f>[1]Mērķi_apst_MK_120313!AG76</f>
        <v>6009796.71</v>
      </c>
      <c r="P13" s="544">
        <f t="shared" si="21"/>
        <v>506979.23999999929</v>
      </c>
      <c r="Q13" s="545">
        <f t="shared" si="22"/>
        <v>0.25963443809623538</v>
      </c>
      <c r="R13" s="546">
        <f t="shared" si="3"/>
        <v>0.70461575070984706</v>
      </c>
      <c r="S13" s="547">
        <f>[1]Mērķi_apst_MK_120313!AM76</f>
        <v>866089.99249999993</v>
      </c>
      <c r="T13" s="544">
        <f>[1]Mērķi_apst_MK_120313!AN76</f>
        <v>6163236.7400000002</v>
      </c>
      <c r="U13" s="547">
        <f t="shared" si="23"/>
        <v>660419.26999999955</v>
      </c>
      <c r="V13" s="545">
        <f t="shared" si="24"/>
        <v>0.3382142157820428</v>
      </c>
      <c r="W13" s="546">
        <f t="shared" si="4"/>
        <v>0.7625296166899187</v>
      </c>
      <c r="X13" s="547">
        <f>[1]Mērķi_apst_MK_120313!AT76</f>
        <v>1099488.8160000001</v>
      </c>
      <c r="Y13" s="544">
        <f>[1]Mērķi_apst_MK_120313!AU76</f>
        <v>6247496.3500000006</v>
      </c>
      <c r="Z13" s="547">
        <f t="shared" si="18"/>
        <v>744678.87999999989</v>
      </c>
      <c r="AA13" s="545">
        <f t="shared" si="5"/>
        <v>0.3813652854324649</v>
      </c>
      <c r="AB13" s="546">
        <f t="shared" si="25"/>
        <v>0.67729554786121604</v>
      </c>
      <c r="AC13" s="544">
        <f>[1]Mērķi_apst_MK_120313!BA76</f>
        <v>1203795.7365000001</v>
      </c>
      <c r="AD13" s="544">
        <f>[1]Mērķi_apst_MK_120313!BB76</f>
        <v>6355576.2200000007</v>
      </c>
      <c r="AE13" s="547">
        <f t="shared" si="26"/>
        <v>852758.75</v>
      </c>
      <c r="AF13" s="545">
        <f t="shared" si="7"/>
        <v>0.43671519742681841</v>
      </c>
      <c r="AG13" s="550">
        <f t="shared" si="8"/>
        <v>0.70839156855578378</v>
      </c>
      <c r="AH13" s="544">
        <f>[1]Mērķi_apst_MK_120313!BH76</f>
        <v>1396897.4170000001</v>
      </c>
      <c r="AI13" s="544">
        <f>[1]Mērķi_apst_MK_120313!BI76</f>
        <v>6483082.79</v>
      </c>
      <c r="AJ13" s="544">
        <f t="shared" si="12"/>
        <v>980265.31999999937</v>
      </c>
      <c r="AK13" s="545">
        <f t="shared" si="27"/>
        <v>0.50201391982722321</v>
      </c>
      <c r="AL13" s="550">
        <f t="shared" si="13"/>
        <v>0.70174467220737891</v>
      </c>
      <c r="AM13" s="544">
        <f t="shared" si="14"/>
        <v>-416632.09700000077</v>
      </c>
      <c r="AN13" s="544">
        <f>[1]Mērķi_apst_MK_120313!BO76</f>
        <v>1491376.2975000001</v>
      </c>
      <c r="AO13" s="544">
        <f>[1]Mērķi_apst_MK_120313!BP76</f>
        <v>6547714.0800000001</v>
      </c>
      <c r="AP13" s="544">
        <f t="shared" si="15"/>
        <v>1044896.6099999994</v>
      </c>
      <c r="AQ13" s="545">
        <f t="shared" si="10"/>
        <v>0.53511292534584143</v>
      </c>
      <c r="AR13" s="550">
        <f t="shared" si="11"/>
        <v>0.70062573191726574</v>
      </c>
      <c r="AS13" s="628">
        <f t="shared" si="16"/>
        <v>-446479.6875000007</v>
      </c>
      <c r="AT13" s="548">
        <f>[1]Mērķi_apst_MK_120313!BV76</f>
        <v>1654821.2094999999</v>
      </c>
      <c r="AU13" s="544"/>
      <c r="AV13" s="544"/>
      <c r="AW13" s="545"/>
      <c r="AX13" s="549"/>
      <c r="AY13" s="544">
        <f>[1]Mērķi_apst_MK_120313!BY76</f>
        <v>1821652.4509999999</v>
      </c>
      <c r="AZ13" s="544"/>
      <c r="BA13" s="544"/>
      <c r="BB13" s="545"/>
      <c r="BC13" s="549"/>
      <c r="BD13" s="544"/>
      <c r="BE13" s="544"/>
      <c r="BF13" s="545"/>
    </row>
    <row r="14" spans="1:58" ht="42.75">
      <c r="A14" s="552" t="s">
        <v>850</v>
      </c>
      <c r="B14" s="539">
        <f>SUM(B15:B22)</f>
        <v>252634604.44030005</v>
      </c>
      <c r="C14" s="539">
        <f>SUM(C15:C22)</f>
        <v>909873174.53413606</v>
      </c>
      <c r="D14" s="539">
        <f>SUM(D15:D22)</f>
        <v>28124665.984000001</v>
      </c>
      <c r="E14" s="539">
        <f>SUM(E15:E22)</f>
        <v>956044213.57999992</v>
      </c>
      <c r="F14" s="539">
        <f>SUM(F15:F22)</f>
        <v>46171039.045864016</v>
      </c>
      <c r="G14" s="540">
        <f>F14/B14</f>
        <v>0.18275817419452001</v>
      </c>
      <c r="H14" s="540">
        <f t="shared" si="0"/>
        <v>1.6416564403691236</v>
      </c>
      <c r="I14" s="539">
        <f>SUM(I15:I22)</f>
        <v>53881209.298000008</v>
      </c>
      <c r="J14" s="539">
        <f>SUM(J15:J22)</f>
        <v>975031311.99000001</v>
      </c>
      <c r="K14" s="539">
        <f>SUM(K15:K22)</f>
        <v>65158137.455864005</v>
      </c>
      <c r="L14" s="540">
        <f t="shared" si="1"/>
        <v>0.25791453866828246</v>
      </c>
      <c r="M14" s="540">
        <f t="shared" si="2"/>
        <v>1.2092924101887703</v>
      </c>
      <c r="N14" s="539">
        <f>SUM(N15:N22)</f>
        <v>66428862.068000011</v>
      </c>
      <c r="O14" s="539">
        <f>SUM(O15:O22)</f>
        <v>993286819.16999996</v>
      </c>
      <c r="P14" s="539">
        <f>SUM(P15:P22)</f>
        <v>83413644.635864064</v>
      </c>
      <c r="Q14" s="540">
        <f>P14/B14</f>
        <v>0.33017505587036672</v>
      </c>
      <c r="R14" s="540">
        <f>P14/N14</f>
        <v>1.2556837801989977</v>
      </c>
      <c r="S14" s="539">
        <f>SUM(S15:S22)</f>
        <v>91539319.868000001</v>
      </c>
      <c r="T14" s="539">
        <f>SUM(T15:T22)</f>
        <v>1019951751.39</v>
      </c>
      <c r="U14" s="539">
        <f>SUM(U15:U22)</f>
        <v>110078576.85586409</v>
      </c>
      <c r="V14" s="540">
        <f>U14/B14</f>
        <v>0.43572248188144275</v>
      </c>
      <c r="W14" s="540">
        <f>U14/S14</f>
        <v>1.2025277991424643</v>
      </c>
      <c r="X14" s="539">
        <f>SUM(X15:X22)</f>
        <v>110895082.314</v>
      </c>
      <c r="Y14" s="539">
        <f>SUM(Y15:Y22)</f>
        <v>1048818046.822816</v>
      </c>
      <c r="Z14" s="539">
        <f>SUM(Z15:Z22)</f>
        <v>138944872.28868011</v>
      </c>
      <c r="AA14" s="540">
        <f t="shared" si="5"/>
        <v>0.54998353292299706</v>
      </c>
      <c r="AB14" s="540">
        <f>Z14/X14</f>
        <v>1.2529398904746469</v>
      </c>
      <c r="AC14" s="539">
        <f>SUM(AC15:AC22)</f>
        <v>131896342.39399999</v>
      </c>
      <c r="AD14" s="539">
        <f>SUM(AD15:AD22)</f>
        <v>1039834438.7141361</v>
      </c>
      <c r="AE14" s="539">
        <f>SUM(AE15:AE22)</f>
        <v>129961264.1800001</v>
      </c>
      <c r="AF14" s="540">
        <f t="shared" si="7"/>
        <v>0.5144238433524303</v>
      </c>
      <c r="AG14" s="540">
        <f t="shared" si="8"/>
        <v>0.98532879548532559</v>
      </c>
      <c r="AH14" s="539">
        <f>SUM(AH15:AH22)</f>
        <v>149491775.62399998</v>
      </c>
      <c r="AI14" s="539">
        <f>SUM(AI15:AI22)</f>
        <v>1053800488.754136</v>
      </c>
      <c r="AJ14" s="539">
        <f>SUM(AJ15:AJ22)</f>
        <v>143927314.22000009</v>
      </c>
      <c r="AK14" s="540">
        <f t="shared" si="27"/>
        <v>0.56970546271309197</v>
      </c>
      <c r="AL14" s="540">
        <f t="shared" si="13"/>
        <v>0.96277747467529207</v>
      </c>
      <c r="AM14" s="539">
        <f t="shared" si="14"/>
        <v>-5564461.4039998949</v>
      </c>
      <c r="AN14" s="539">
        <f>SUM(AN15:AN22)</f>
        <v>167980394.22400001</v>
      </c>
      <c r="AO14" s="539">
        <f>SUM(AO15:AO22)</f>
        <v>1086584398.9441359</v>
      </c>
      <c r="AP14" s="539">
        <f>SUM(AP15:AP22)</f>
        <v>176711224.41000003</v>
      </c>
      <c r="AQ14" s="540">
        <f t="shared" si="10"/>
        <v>0.69947355312426551</v>
      </c>
      <c r="AR14" s="540">
        <f t="shared" si="11"/>
        <v>1.0519752928687474</v>
      </c>
      <c r="AS14" s="539">
        <f>SUM(AS15:AS22)</f>
        <v>8730830.1860000156</v>
      </c>
      <c r="AT14" s="541">
        <f>SUM(AT15:AT22)</f>
        <v>189822558.28800002</v>
      </c>
      <c r="AU14" s="539"/>
      <c r="AV14" s="539"/>
      <c r="AW14" s="540"/>
      <c r="AX14" s="542"/>
      <c r="AY14" s="539">
        <f>SUM(AY15:AY22)</f>
        <v>220224720.05800003</v>
      </c>
      <c r="AZ14" s="539"/>
      <c r="BA14" s="539"/>
      <c r="BB14" s="540"/>
      <c r="BC14" s="542"/>
      <c r="BD14" s="539"/>
      <c r="BE14" s="539"/>
      <c r="BF14" s="540"/>
    </row>
    <row r="15" spans="1:58" ht="15">
      <c r="A15" s="543" t="s">
        <v>843</v>
      </c>
      <c r="B15" s="544">
        <f>[1]Mērķi_apst_MK_120313!CB86</f>
        <v>41103211.300300002</v>
      </c>
      <c r="C15" s="544">
        <f>[1]Mērķi_apst_MK_120313!K86</f>
        <v>214543347.81413597</v>
      </c>
      <c r="D15" s="544">
        <f>[1]Mērķi_apst_MK_120313!R86</f>
        <v>6918053.1500000004</v>
      </c>
      <c r="E15" s="544">
        <f>[1]Mērķi_apst_MK_120313!S86</f>
        <v>245768991.72999996</v>
      </c>
      <c r="F15" s="544">
        <f t="shared" ref="F15:F22" si="28">E15-C15</f>
        <v>31225643.915863991</v>
      </c>
      <c r="G15" s="545">
        <f t="shared" ref="G15:G28" si="29">F15/B15</f>
        <v>0.75968866976668759</v>
      </c>
      <c r="H15" s="545">
        <f t="shared" si="0"/>
        <v>4.5136461427539034</v>
      </c>
      <c r="I15" s="544">
        <f>[1]Mērķi_apst_MK_120313!Y86</f>
        <v>8722077.5600000005</v>
      </c>
      <c r="J15" s="544">
        <f>[1]Mērķi_apst_MK_120313!Z86</f>
        <v>248154411.97999996</v>
      </c>
      <c r="K15" s="544">
        <f t="shared" ref="K15:K22" si="30">J15-C15</f>
        <v>33611064.165863991</v>
      </c>
      <c r="L15" s="545">
        <f t="shared" si="1"/>
        <v>0.81772355741992042</v>
      </c>
      <c r="M15" s="545">
        <f t="shared" si="2"/>
        <v>3.8535617156176709</v>
      </c>
      <c r="N15" s="544">
        <f>[1]Mērķi_apst_MK_120313!AF86</f>
        <v>12997180.140000001</v>
      </c>
      <c r="O15" s="544">
        <f>[1]Mērķi_apst_MK_120313!AG86</f>
        <v>251339984.47</v>
      </c>
      <c r="P15" s="544">
        <f>O15-C15</f>
        <v>36796636.65586403</v>
      </c>
      <c r="Q15" s="545">
        <f t="shared" ref="Q15:Q28" si="31">P15/B15</f>
        <v>0.89522534838039436</v>
      </c>
      <c r="R15" s="545">
        <f t="shared" si="3"/>
        <v>2.8311246177637441</v>
      </c>
      <c r="S15" s="547">
        <f>[1]Mērķi_apst_MK_120313!AM86</f>
        <v>17476382.640000001</v>
      </c>
      <c r="T15" s="544">
        <f>[1]Mērķi_apst_MK_120313!AN86</f>
        <v>254130874.58000001</v>
      </c>
      <c r="U15" s="547">
        <f t="shared" si="23"/>
        <v>39587526.765864044</v>
      </c>
      <c r="V15" s="545">
        <f t="shared" ref="V15:V28" si="32">U15/B15</f>
        <v>0.96312491198406935</v>
      </c>
      <c r="W15" s="545">
        <f t="shared" ref="W15:W28" si="33">U15/S15</f>
        <v>2.2652014196150629</v>
      </c>
      <c r="X15" s="547">
        <f>[1]Mērķi_apst_MK_120313!AT86</f>
        <v>22031550.170000002</v>
      </c>
      <c r="Y15" s="544">
        <f>[1]Mērķi_apst_MK_120313!AU86</f>
        <v>258942869.28281599</v>
      </c>
      <c r="Z15" s="547">
        <f t="shared" ref="Z15:Z22" si="34">Y15-C15</f>
        <v>44399521.468680024</v>
      </c>
      <c r="AA15" s="545">
        <f t="shared" si="5"/>
        <v>1.0801959278630855</v>
      </c>
      <c r="AB15" s="545">
        <f t="shared" ref="AB15:AB28" si="35">Z15/X15</f>
        <v>2.015269970841095</v>
      </c>
      <c r="AC15" s="544">
        <f>[1]Mērķi_apst_MK_120313!BA86</f>
        <v>25537959.870000001</v>
      </c>
      <c r="AD15" s="544">
        <f>[1]Mērķi_apst_MK_120313!BB86</f>
        <v>236426069.44413602</v>
      </c>
      <c r="AE15" s="547">
        <f t="shared" si="26"/>
        <v>21882721.630000055</v>
      </c>
      <c r="AF15" s="545">
        <f t="shared" si="7"/>
        <v>0.53238471977590562</v>
      </c>
      <c r="AG15" s="553">
        <f t="shared" si="8"/>
        <v>0.85687038985859498</v>
      </c>
      <c r="AH15" s="544">
        <f>[1]Mērķi_apst_MK_120313!BH86</f>
        <v>28288559.27</v>
      </c>
      <c r="AI15" s="544">
        <f>[1]Mērķi_apst_MK_120313!BI86</f>
        <v>237642141.934136</v>
      </c>
      <c r="AJ15" s="544">
        <f t="shared" si="12"/>
        <v>23098794.120000035</v>
      </c>
      <c r="AK15" s="545">
        <f t="shared" si="27"/>
        <v>0.56197054656484813</v>
      </c>
      <c r="AL15" s="546">
        <f t="shared" si="13"/>
        <v>0.81654190655429715</v>
      </c>
      <c r="AM15" s="544">
        <f t="shared" si="14"/>
        <v>-5189765.149999965</v>
      </c>
      <c r="AN15" s="544">
        <f>[1]Mērķi_apst_MK_120313!BO86</f>
        <v>30969984.710000001</v>
      </c>
      <c r="AO15" s="544">
        <f>[1]Mērķi_apst_MK_120313!BP86</f>
        <v>246633170.54413599</v>
      </c>
      <c r="AP15" s="544">
        <f>AO15-C15</f>
        <v>32089822.730000019</v>
      </c>
      <c r="AQ15" s="545">
        <f t="shared" si="10"/>
        <v>0.78071327555289582</v>
      </c>
      <c r="AR15" s="546">
        <f t="shared" si="11"/>
        <v>1.0361588173351093</v>
      </c>
      <c r="AS15" s="544">
        <f t="shared" si="16"/>
        <v>1119838.0200000182</v>
      </c>
      <c r="AT15" s="548">
        <f>[1]Mērķi_apst_MK_120313!BV86</f>
        <v>36097286.710000001</v>
      </c>
      <c r="AU15" s="544"/>
      <c r="AV15" s="544"/>
      <c r="AW15" s="545"/>
      <c r="AX15" s="554"/>
      <c r="AY15" s="544">
        <f>[1]Mērķi_apst_MK_120313!BY86</f>
        <v>39883779.109999999</v>
      </c>
      <c r="AZ15" s="544"/>
      <c r="BA15" s="544"/>
      <c r="BB15" s="545"/>
      <c r="BC15" s="554"/>
      <c r="BD15" s="544"/>
      <c r="BE15" s="544"/>
      <c r="BF15" s="545"/>
    </row>
    <row r="16" spans="1:58" ht="15">
      <c r="A16" s="543" t="s">
        <v>844</v>
      </c>
      <c r="B16" s="544">
        <f>[1]Mērķi_apst_MK_120313!CB117</f>
        <v>7806244.9000000004</v>
      </c>
      <c r="C16" s="544">
        <f>[1]Mērķi_apst_MK_120313!K117</f>
        <v>26527824.710000001</v>
      </c>
      <c r="D16" s="544">
        <f>[1]Mērķi_apst_MK_120313!R117</f>
        <v>439958.82999999996</v>
      </c>
      <c r="E16" s="544">
        <f>[1]Mērķi_apst_MK_120313!S117</f>
        <v>26974749.800000001</v>
      </c>
      <c r="F16" s="544">
        <f>E16-C16</f>
        <v>446925.08999999985</v>
      </c>
      <c r="G16" s="545">
        <f>F16/B16</f>
        <v>5.7252250694825091E-2</v>
      </c>
      <c r="H16" s="545">
        <f>F16/D16</f>
        <v>1.015833890639267</v>
      </c>
      <c r="I16" s="544">
        <f>[1]Mērķi_apst_MK_120313!Y117</f>
        <v>1869574.2599999998</v>
      </c>
      <c r="J16" s="544">
        <f>[1]Mērķi_apst_MK_120313!Z117</f>
        <v>28585779.18</v>
      </c>
      <c r="K16" s="544">
        <f>J16-C16</f>
        <v>2057954.4699999988</v>
      </c>
      <c r="L16" s="545">
        <f>K16/B16</f>
        <v>0.26362924765529694</v>
      </c>
      <c r="M16" s="545">
        <f>K16/I16</f>
        <v>1.1007610203191389</v>
      </c>
      <c r="N16" s="544">
        <f>[1]Mērķi_apst_MK_120313!AF117</f>
        <v>1982623.27</v>
      </c>
      <c r="O16" s="544">
        <f>[1]Mērķi_apst_MK_120313!AG117</f>
        <v>28585779.18</v>
      </c>
      <c r="P16" s="544">
        <f>O16-C16</f>
        <v>2057954.4699999988</v>
      </c>
      <c r="Q16" s="545">
        <f>P16/B16</f>
        <v>0.26362924765529694</v>
      </c>
      <c r="R16" s="545">
        <f>P16/N16</f>
        <v>1.0379957206897903</v>
      </c>
      <c r="S16" s="547">
        <f>[1]Mērķi_apst_MK_120313!AM117</f>
        <v>2280170.4500000002</v>
      </c>
      <c r="T16" s="544">
        <f>[1]Mērķi_apst_MK_120313!AN117</f>
        <v>28950142.880000003</v>
      </c>
      <c r="U16" s="547">
        <f>T16-C16</f>
        <v>2422318.1700000018</v>
      </c>
      <c r="V16" s="545">
        <f>U16/B16</f>
        <v>0.31030517246518896</v>
      </c>
      <c r="W16" s="545">
        <f>U16/S16</f>
        <v>1.0623408307041264</v>
      </c>
      <c r="X16" s="547">
        <f>[1]Mērķi_apst_MK_120313!AT117</f>
        <v>3745492.38</v>
      </c>
      <c r="Y16" s="544">
        <f>[1]Mērķi_apst_MK_120313!AU117</f>
        <v>30360207.579999998</v>
      </c>
      <c r="Z16" s="547">
        <f>Y16-C16</f>
        <v>3832382.8699999973</v>
      </c>
      <c r="AA16" s="545">
        <f>Z16/B16</f>
        <v>0.4909380783070228</v>
      </c>
      <c r="AB16" s="545">
        <f>Z16/X16</f>
        <v>1.0231986828925272</v>
      </c>
      <c r="AC16" s="544">
        <f>[1]Mērķi_apst_MK_120313!BA117</f>
        <v>3745492.38</v>
      </c>
      <c r="AD16" s="544">
        <f>[1]Mērķi_apst_MK_120313!BB117</f>
        <v>30473556.280000001</v>
      </c>
      <c r="AE16" s="547">
        <f>AD16-C16</f>
        <v>3945731.5700000003</v>
      </c>
      <c r="AF16" s="545">
        <f>AE16/B16</f>
        <v>0.50545833759327741</v>
      </c>
      <c r="AG16" s="545">
        <f>AE16/AC16</f>
        <v>1.0534613796224037</v>
      </c>
      <c r="AH16" s="544">
        <f>[1]Mērķi_apst_MK_120313!BH117</f>
        <v>4201735.0199999996</v>
      </c>
      <c r="AI16" s="544">
        <f>[1]Mērķi_apst_MK_120313!BI117</f>
        <v>31208234.02</v>
      </c>
      <c r="AJ16" s="544">
        <f t="shared" si="12"/>
        <v>4680409.3099999987</v>
      </c>
      <c r="AK16" s="545">
        <f t="shared" si="27"/>
        <v>0.59957244103371632</v>
      </c>
      <c r="AL16" s="546">
        <f t="shared" si="13"/>
        <v>1.11392300745324</v>
      </c>
      <c r="AM16" s="544">
        <f t="shared" si="14"/>
        <v>478674.28999999911</v>
      </c>
      <c r="AN16" s="544">
        <f>[1]Mērķi_apst_MK_120313!BO117</f>
        <v>5707610.9699999997</v>
      </c>
      <c r="AO16" s="544">
        <f>[1]Mērķi_apst_MK_120313!BP117</f>
        <v>32145547.009999998</v>
      </c>
      <c r="AP16" s="544">
        <f t="shared" ref="AP16:AP22" si="36">AO16-C16</f>
        <v>5617722.299999997</v>
      </c>
      <c r="AQ16" s="545">
        <f t="shared" si="10"/>
        <v>0.7196446398959373</v>
      </c>
      <c r="AR16" s="546">
        <f t="shared" si="11"/>
        <v>0.98425108675547968</v>
      </c>
      <c r="AS16" s="544">
        <f t="shared" si="16"/>
        <v>-89888.670000002719</v>
      </c>
      <c r="AT16" s="548">
        <f>[1]Mērķi_apst_MK_120313!BV117</f>
        <v>5797223.75</v>
      </c>
      <c r="AU16" s="544"/>
      <c r="AV16" s="544"/>
      <c r="AW16" s="545"/>
      <c r="AX16" s="554"/>
      <c r="AY16" s="544">
        <f>[1]Mērķi_apst_MK_120313!BY117</f>
        <v>6196425.2800000003</v>
      </c>
      <c r="AZ16" s="544"/>
      <c r="BA16" s="544"/>
      <c r="BB16" s="545"/>
      <c r="BC16" s="554"/>
      <c r="BD16" s="544"/>
      <c r="BE16" s="544"/>
      <c r="BF16" s="545"/>
    </row>
    <row r="17" spans="1:58" ht="15">
      <c r="A17" s="543" t="s">
        <v>851</v>
      </c>
      <c r="B17" s="544">
        <f>[1]Mērķi_apst_MK_120313!CB122</f>
        <v>37165759.864</v>
      </c>
      <c r="C17" s="544">
        <f>[1]Mērķi_apst_MK_120313!K122</f>
        <v>167344128.54000002</v>
      </c>
      <c r="D17" s="544">
        <f>[1]Mērķi_apst_MK_120313!R122</f>
        <v>3513660.0240000002</v>
      </c>
      <c r="E17" s="544">
        <f>[1]Mērķi_apst_MK_120313!S122</f>
        <v>171213468.69999999</v>
      </c>
      <c r="F17" s="544">
        <f t="shared" si="28"/>
        <v>3869340.1599999666</v>
      </c>
      <c r="G17" s="545">
        <f t="shared" si="29"/>
        <v>0.10411034710870903</v>
      </c>
      <c r="H17" s="545">
        <f t="shared" si="0"/>
        <v>1.1012278175949006</v>
      </c>
      <c r="I17" s="544">
        <f>[1]Mērķi_apst_MK_120313!Y122</f>
        <v>6650556.6740000006</v>
      </c>
      <c r="J17" s="544">
        <f>[1]Mērķi_apst_MK_120313!Z122</f>
        <v>173239733.75</v>
      </c>
      <c r="K17" s="544">
        <f t="shared" si="30"/>
        <v>5895605.2099999785</v>
      </c>
      <c r="L17" s="545">
        <f t="shared" si="1"/>
        <v>0.15863001944729938</v>
      </c>
      <c r="M17" s="545">
        <f t="shared" si="2"/>
        <v>0.88648296661368742</v>
      </c>
      <c r="N17" s="544">
        <f>[1]Mērķi_apst_MK_120313!AF122</f>
        <v>7978227.6740000006</v>
      </c>
      <c r="O17" s="544">
        <f>[1]Mērķi_apst_MK_120313!AG122</f>
        <v>175617865</v>
      </c>
      <c r="P17" s="544">
        <f t="shared" ref="P17:P22" si="37">O17-C17</f>
        <v>8273736.4599999785</v>
      </c>
      <c r="Q17" s="545">
        <f t="shared" si="31"/>
        <v>0.22261717479410925</v>
      </c>
      <c r="R17" s="545">
        <f t="shared" si="3"/>
        <v>1.0370394024932383</v>
      </c>
      <c r="S17" s="547">
        <f>[1]Mērķi_apst_MK_120313!AM122</f>
        <v>14241309.674000001</v>
      </c>
      <c r="T17" s="544">
        <f>[1]Mērķi_apst_MK_120313!AN122</f>
        <v>179009622.78999996</v>
      </c>
      <c r="U17" s="547">
        <f t="shared" si="23"/>
        <v>11665494.24999994</v>
      </c>
      <c r="V17" s="545">
        <f t="shared" si="32"/>
        <v>0.3138774585179282</v>
      </c>
      <c r="W17" s="545">
        <f t="shared" si="33"/>
        <v>0.81913072021018818</v>
      </c>
      <c r="X17" s="547">
        <f>[1]Mērķi_apst_MK_120313!AT122</f>
        <v>17217360.674000002</v>
      </c>
      <c r="Y17" s="544">
        <f>[1]Mērķi_apst_MK_120313!AU122</f>
        <v>182348973.09999999</v>
      </c>
      <c r="Z17" s="547">
        <f t="shared" si="34"/>
        <v>15004844.559999973</v>
      </c>
      <c r="AA17" s="545">
        <f t="shared" si="5"/>
        <v>0.4037276411112522</v>
      </c>
      <c r="AB17" s="545">
        <f t="shared" si="35"/>
        <v>0.87149504759221552</v>
      </c>
      <c r="AC17" s="544">
        <f>[1]Mērķi_apst_MK_120313!BA122</f>
        <v>20374938.674000002</v>
      </c>
      <c r="AD17" s="544">
        <f>[1]Mērķi_apst_MK_120313!BB122</f>
        <v>185884179.44</v>
      </c>
      <c r="AE17" s="547">
        <f t="shared" si="26"/>
        <v>18540050.899999976</v>
      </c>
      <c r="AF17" s="545">
        <f t="shared" si="7"/>
        <v>0.49884762124717086</v>
      </c>
      <c r="AG17" s="553">
        <f t="shared" si="8"/>
        <v>0.90994388727454256</v>
      </c>
      <c r="AH17" s="544">
        <f>[1]Mērķi_apst_MK_120313!BH122</f>
        <v>21935753.864</v>
      </c>
      <c r="AI17" s="544">
        <f>[1]Mērķi_apst_MK_120313!BI122</f>
        <v>186240273.09999996</v>
      </c>
      <c r="AJ17" s="544">
        <f t="shared" si="12"/>
        <v>18896144.559999943</v>
      </c>
      <c r="AK17" s="545">
        <f t="shared" si="27"/>
        <v>0.50842885034898433</v>
      </c>
      <c r="AL17" s="546">
        <f t="shared" si="13"/>
        <v>0.86143128142094394</v>
      </c>
      <c r="AM17" s="544">
        <f t="shared" si="14"/>
        <v>-3039609.3040000573</v>
      </c>
      <c r="AN17" s="544">
        <f>[1]Mērķi_apst_MK_120313!BO122</f>
        <v>27111435.864</v>
      </c>
      <c r="AO17" s="544">
        <f>[1]Mērķi_apst_MK_120313!BP122</f>
        <v>191810678.57999998</v>
      </c>
      <c r="AP17" s="544">
        <f t="shared" si="36"/>
        <v>24466550.039999962</v>
      </c>
      <c r="AQ17" s="545">
        <f t="shared" si="10"/>
        <v>0.65830888779161167</v>
      </c>
      <c r="AR17" s="546">
        <f t="shared" si="11"/>
        <v>0.90244390458448354</v>
      </c>
      <c r="AS17" s="544">
        <f t="shared" si="16"/>
        <v>-2644885.8240000382</v>
      </c>
      <c r="AT17" s="548">
        <f>[1]Mērķi_apst_MK_120313!BV122</f>
        <v>27604430.864</v>
      </c>
      <c r="AU17" s="544"/>
      <c r="AV17" s="544"/>
      <c r="AW17" s="545"/>
      <c r="AX17" s="554"/>
      <c r="AY17" s="544">
        <f>[1]Mērķi_apst_MK_120313!BY122</f>
        <v>30043489.864</v>
      </c>
      <c r="AZ17" s="544"/>
      <c r="BA17" s="544"/>
      <c r="BB17" s="545"/>
      <c r="BC17" s="554"/>
      <c r="BD17" s="544"/>
      <c r="BE17" s="544"/>
      <c r="BF17" s="545"/>
    </row>
    <row r="18" spans="1:58" ht="15">
      <c r="A18" s="543" t="s">
        <v>852</v>
      </c>
      <c r="B18" s="544">
        <f>[1]Mērķi_apst_MK_120313!CB138</f>
        <v>6807205.2300000004</v>
      </c>
      <c r="C18" s="544">
        <f>[1]Mērķi_apst_MK_120313!K138</f>
        <v>11695311.630000001</v>
      </c>
      <c r="D18" s="544">
        <f>[1]Mērķi_apst_MK_120313!R138</f>
        <v>858301.42</v>
      </c>
      <c r="E18" s="544">
        <f>[1]Mērķi_apst_MK_120313!S138</f>
        <v>12461663.940000001</v>
      </c>
      <c r="F18" s="544">
        <f>E18-C18</f>
        <v>766352.31000000052</v>
      </c>
      <c r="G18" s="545">
        <f>F18/B18</f>
        <v>0.1125795806218113</v>
      </c>
      <c r="H18" s="545">
        <f>F18/D18</f>
        <v>0.89287084017640383</v>
      </c>
      <c r="I18" s="544">
        <f>[1]Mērķi_apst_MK_120313!Y138</f>
        <v>1077502.42</v>
      </c>
      <c r="J18" s="544">
        <f>[1]Mērķi_apst_MK_120313!Z138</f>
        <v>12604965.609999999</v>
      </c>
      <c r="K18" s="544">
        <f>J18-C18</f>
        <v>909653.97999999858</v>
      </c>
      <c r="L18" s="545">
        <f>K18/B18</f>
        <v>0.1336310496400295</v>
      </c>
      <c r="M18" s="545">
        <f>K18/I18</f>
        <v>0.84422453547714416</v>
      </c>
      <c r="N18" s="544">
        <f>[1]Mērķi_apst_MK_120313!AF138</f>
        <v>3068243.23</v>
      </c>
      <c r="O18" s="544">
        <f>[1]Mērķi_apst_MK_120313!AG138</f>
        <v>14287514.849999998</v>
      </c>
      <c r="P18" s="544">
        <f>O18-C18</f>
        <v>2592203.2199999969</v>
      </c>
      <c r="Q18" s="545">
        <f>P18/B18</f>
        <v>0.38080285997194724</v>
      </c>
      <c r="R18" s="545">
        <f>P18/N18</f>
        <v>0.84484932441291394</v>
      </c>
      <c r="S18" s="547">
        <f>[1]Mērķi_apst_MK_120313!AM138</f>
        <v>3437587.23</v>
      </c>
      <c r="T18" s="544">
        <f>[1]Mērķi_apst_MK_120313!AN138</f>
        <v>14468081.16</v>
      </c>
      <c r="U18" s="547">
        <f>T18-C18</f>
        <v>2772769.5299999993</v>
      </c>
      <c r="V18" s="545">
        <f>U18/B18</f>
        <v>0.40732862258657054</v>
      </c>
      <c r="W18" s="545">
        <f>U18/S18</f>
        <v>0.80660339490497801</v>
      </c>
      <c r="X18" s="547">
        <f>[1]Mērķi_apst_MK_120313!AT138</f>
        <v>3889058.23</v>
      </c>
      <c r="Y18" s="544">
        <f>[1]Mērķi_apst_MK_120313!AU138</f>
        <v>14650791.209999999</v>
      </c>
      <c r="Z18" s="547">
        <f>Y18-C18</f>
        <v>2955479.5799999982</v>
      </c>
      <c r="AA18" s="545">
        <f>Z18/B18</f>
        <v>0.43416930739430609</v>
      </c>
      <c r="AB18" s="545">
        <f>Z18/X18</f>
        <v>0.7599473716288373</v>
      </c>
      <c r="AC18" s="544">
        <f>[1]Mērķi_apst_MK_120313!BA138</f>
        <v>4564439.2300000004</v>
      </c>
      <c r="AD18" s="544">
        <f>[1]Mērķi_apst_MK_120313!BB138</f>
        <v>14966553.75</v>
      </c>
      <c r="AE18" s="547">
        <f>AD18-C18</f>
        <v>3271242.1199999992</v>
      </c>
      <c r="AF18" s="545">
        <f>AE18/B18</f>
        <v>0.48055582422920412</v>
      </c>
      <c r="AG18" s="553">
        <f>AE18/AC18</f>
        <v>0.71667995895302983</v>
      </c>
      <c r="AH18" s="544">
        <f>[1]Mērķi_apst_MK_120313!BH138</f>
        <v>4969663.2300000004</v>
      </c>
      <c r="AI18" s="544">
        <f>[1]Mērķi_apst_MK_120313!BI138</f>
        <v>15444806.520000001</v>
      </c>
      <c r="AJ18" s="544">
        <f t="shared" si="12"/>
        <v>3749494.8900000006</v>
      </c>
      <c r="AK18" s="545">
        <f t="shared" si="27"/>
        <v>0.55081267029758707</v>
      </c>
      <c r="AL18" s="550">
        <f t="shared" si="13"/>
        <v>0.75447665495031946</v>
      </c>
      <c r="AM18" s="544">
        <f t="shared" si="14"/>
        <v>-1220168.3399999999</v>
      </c>
      <c r="AN18" s="544">
        <f>[1]Mērķi_apst_MK_120313!BO138</f>
        <v>5097494.2300000004</v>
      </c>
      <c r="AO18" s="544">
        <f>[1]Mērķi_apst_MK_120313!BP138</f>
        <v>15481759.140000001</v>
      </c>
      <c r="AP18" s="544">
        <f t="shared" si="36"/>
        <v>3786447.51</v>
      </c>
      <c r="AQ18" s="545">
        <f t="shared" si="10"/>
        <v>0.55624112716813146</v>
      </c>
      <c r="AR18" s="550">
        <f t="shared" si="11"/>
        <v>0.74280564904141133</v>
      </c>
      <c r="AS18" s="628">
        <f t="shared" si="16"/>
        <v>-1311046.7200000007</v>
      </c>
      <c r="AT18" s="548">
        <f>[1]Mērķi_apst_MK_120313!BV138</f>
        <v>6196245.2300000004</v>
      </c>
      <c r="AU18" s="544"/>
      <c r="AV18" s="544"/>
      <c r="AW18" s="545"/>
      <c r="AX18" s="554"/>
      <c r="AY18" s="544">
        <f>[1]Mērķi_apst_MK_120313!BY138</f>
        <v>6805330.2300000004</v>
      </c>
      <c r="AZ18" s="544"/>
      <c r="BA18" s="544"/>
      <c r="BB18" s="545"/>
      <c r="BC18" s="554"/>
      <c r="BD18" s="544"/>
      <c r="BE18" s="544"/>
      <c r="BF18" s="545"/>
    </row>
    <row r="19" spans="1:58" ht="15">
      <c r="A19" s="543" t="s">
        <v>846</v>
      </c>
      <c r="B19" s="544">
        <f>[1]Mērķi_apst_MK_120313!CB142</f>
        <v>229117.49</v>
      </c>
      <c r="C19" s="544">
        <f>[1]Mērķi_apst_MK_120313!K142</f>
        <v>8589644.7899999991</v>
      </c>
      <c r="D19" s="544">
        <f>[1]Mērķi_apst_MK_120313!R142</f>
        <v>0</v>
      </c>
      <c r="E19" s="544">
        <f>[1]Mērķi_apst_MK_120313!S142</f>
        <v>8589644.7899999991</v>
      </c>
      <c r="F19" s="544">
        <f>E19-C19</f>
        <v>0</v>
      </c>
      <c r="G19" s="545">
        <f>F19/B19</f>
        <v>0</v>
      </c>
      <c r="H19" s="545">
        <f>IFERROR(F19/D19,1)</f>
        <v>1</v>
      </c>
      <c r="I19" s="544">
        <f>[1]Mērķi_apst_MK_120313!Y142</f>
        <v>0</v>
      </c>
      <c r="J19" s="544">
        <f>[1]Mērķi_apst_MK_120313!Z142</f>
        <v>8589644.7899999991</v>
      </c>
      <c r="K19" s="544">
        <f>J19-C19</f>
        <v>0</v>
      </c>
      <c r="L19" s="545">
        <f>K19/B19</f>
        <v>0</v>
      </c>
      <c r="M19" s="545">
        <f>IFERROR(K19/I19,1)</f>
        <v>1</v>
      </c>
      <c r="N19" s="544">
        <f>[1]Mērķi_apst_MK_120313!AF142</f>
        <v>87472</v>
      </c>
      <c r="O19" s="544">
        <f>[1]Mērķi_apst_MK_120313!AG142</f>
        <v>8707393.0500000007</v>
      </c>
      <c r="P19" s="544">
        <f>O19-C19</f>
        <v>117748.26000000164</v>
      </c>
      <c r="Q19" s="545">
        <f>P19/B19</f>
        <v>0.51392087090340266</v>
      </c>
      <c r="R19" s="545">
        <f>IFERROR(P19/N19,1)</f>
        <v>1.3461251600512352</v>
      </c>
      <c r="S19" s="547">
        <f>[1]Mērķi_apst_MK_120313!AM142</f>
        <v>93117.49</v>
      </c>
      <c r="T19" s="544">
        <f>[1]Mērķi_apst_MK_120313!AN142</f>
        <v>8707393.0500000007</v>
      </c>
      <c r="U19" s="547">
        <f>T19-C19</f>
        <v>117748.26000000164</v>
      </c>
      <c r="V19" s="545">
        <f>U19/B19</f>
        <v>0.51392087090340266</v>
      </c>
      <c r="W19" s="545">
        <f>U19/S19</f>
        <v>1.2645128213829822</v>
      </c>
      <c r="X19" s="547">
        <f>[1]Mērķi_apst_MK_120313!AT142</f>
        <v>93117.49</v>
      </c>
      <c r="Y19" s="544">
        <f>[1]Mērķi_apst_MK_120313!AU142</f>
        <v>8764801.9299999997</v>
      </c>
      <c r="Z19" s="547">
        <f>Y19-C19</f>
        <v>175157.1400000006</v>
      </c>
      <c r="AA19" s="545">
        <f>Z19/B19</f>
        <v>0.7644861158351578</v>
      </c>
      <c r="AB19" s="545">
        <f>Z19/X19</f>
        <v>1.8810337349084536</v>
      </c>
      <c r="AC19" s="544">
        <f>[1]Mērķi_apst_MK_120313!BA142</f>
        <v>93117.49</v>
      </c>
      <c r="AD19" s="544">
        <f>[1]Mērķi_apst_MK_120313!BB142</f>
        <v>8764801.9299999997</v>
      </c>
      <c r="AE19" s="547">
        <f>AD19-C19</f>
        <v>175157.1400000006</v>
      </c>
      <c r="AF19" s="545">
        <f>AE19/B19</f>
        <v>0.7644861158351578</v>
      </c>
      <c r="AG19" s="545">
        <f>AE19/AC19</f>
        <v>1.8810337349084536</v>
      </c>
      <c r="AH19" s="544">
        <f>[1]Mērķi_apst_MK_120313!BH142</f>
        <v>93117.49</v>
      </c>
      <c r="AI19" s="544">
        <f>[1]Mērķi_apst_MK_120313!BI142</f>
        <v>8764801.9299999997</v>
      </c>
      <c r="AJ19" s="544">
        <f t="shared" si="12"/>
        <v>175157.1400000006</v>
      </c>
      <c r="AK19" s="545">
        <f t="shared" si="27"/>
        <v>0.7644861158351578</v>
      </c>
      <c r="AL19" s="546">
        <f t="shared" si="13"/>
        <v>1.8810337349084536</v>
      </c>
      <c r="AM19" s="544">
        <f t="shared" si="14"/>
        <v>82039.650000000591</v>
      </c>
      <c r="AN19" s="544">
        <f>[1]Mērķi_apst_MK_120313!BO142</f>
        <v>93117.49</v>
      </c>
      <c r="AO19" s="544">
        <f>[1]Mērķi_apst_MK_120313!BP142</f>
        <v>8764801.9299999997</v>
      </c>
      <c r="AP19" s="544">
        <f t="shared" si="36"/>
        <v>175157.1400000006</v>
      </c>
      <c r="AQ19" s="545">
        <f t="shared" si="10"/>
        <v>0.7644861158351578</v>
      </c>
      <c r="AR19" s="546">
        <f t="shared" si="11"/>
        <v>1.8810337349084536</v>
      </c>
      <c r="AS19" s="544">
        <f t="shared" si="16"/>
        <v>82039.650000000591</v>
      </c>
      <c r="AT19" s="548">
        <f>[1]Mērķi_apst_MK_120313!BV142</f>
        <v>127117.49</v>
      </c>
      <c r="AU19" s="544"/>
      <c r="AV19" s="544"/>
      <c r="AW19" s="545"/>
      <c r="AX19" s="554"/>
      <c r="AY19" s="544">
        <f>[1]Mērķi_apst_MK_120313!BY142</f>
        <v>161117.49</v>
      </c>
      <c r="AZ19" s="544"/>
      <c r="BA19" s="544"/>
      <c r="BB19" s="545"/>
      <c r="BC19" s="554"/>
      <c r="BD19" s="544"/>
      <c r="BE19" s="544"/>
      <c r="BF19" s="545"/>
    </row>
    <row r="20" spans="1:58" ht="15">
      <c r="A20" s="543" t="s">
        <v>853</v>
      </c>
      <c r="B20" s="544">
        <f>[1]Mērķi_apst_MK_120313!CB149</f>
        <v>58926214.816000007</v>
      </c>
      <c r="C20" s="544">
        <f>[1]Mērķi_apst_MK_120313!K149</f>
        <v>113607136.52</v>
      </c>
      <c r="D20" s="544">
        <f>[1]Mērķi_apst_MK_120313!R149</f>
        <v>4663297.3499999996</v>
      </c>
      <c r="E20" s="544">
        <f>[1]Mērķi_apst_MK_120313!S149</f>
        <v>114421394.29000001</v>
      </c>
      <c r="F20" s="544">
        <f t="shared" si="28"/>
        <v>814257.77000001073</v>
      </c>
      <c r="G20" s="545">
        <f t="shared" si="29"/>
        <v>1.3818260218182526E-2</v>
      </c>
      <c r="H20" s="545">
        <f t="shared" si="0"/>
        <v>0.17460987556369545</v>
      </c>
      <c r="I20" s="544">
        <f>[1]Mērķi_apst_MK_120313!Y149</f>
        <v>18058799.32</v>
      </c>
      <c r="J20" s="544">
        <f>[1]Mērķi_apst_MK_120313!Z149</f>
        <v>122356579.19</v>
      </c>
      <c r="K20" s="544">
        <f t="shared" si="30"/>
        <v>8749442.6700000018</v>
      </c>
      <c r="L20" s="545">
        <f t="shared" si="1"/>
        <v>0.14848132868063163</v>
      </c>
      <c r="M20" s="545">
        <f t="shared" si="2"/>
        <v>0.48449747488527944</v>
      </c>
      <c r="N20" s="544">
        <f>[1]Mērķi_apst_MK_120313!AF149</f>
        <v>18934317.990000002</v>
      </c>
      <c r="O20" s="544">
        <f>[1]Mērķi_apst_MK_120313!AG149</f>
        <v>130047067.81000002</v>
      </c>
      <c r="P20" s="544">
        <f t="shared" si="37"/>
        <v>16439931.290000021</v>
      </c>
      <c r="Q20" s="545">
        <f t="shared" si="31"/>
        <v>0.27899180935572582</v>
      </c>
      <c r="R20" s="545">
        <f t="shared" si="3"/>
        <v>0.86826107487381543</v>
      </c>
      <c r="S20" s="547">
        <f>[1]Mērķi_apst_MK_120313!AM149</f>
        <v>25618655.240000002</v>
      </c>
      <c r="T20" s="544">
        <f>[1]Mērķi_apst_MK_120313!AN149</f>
        <v>138584903.81</v>
      </c>
      <c r="U20" s="547">
        <f t="shared" si="23"/>
        <v>24977767.290000007</v>
      </c>
      <c r="V20" s="545">
        <f t="shared" si="32"/>
        <v>0.42388209336021854</v>
      </c>
      <c r="W20" s="545">
        <f t="shared" si="33"/>
        <v>0.97498354445242941</v>
      </c>
      <c r="X20" s="547">
        <f>[1]Mērķi_apst_MK_120313!AT149</f>
        <v>30317038.976</v>
      </c>
      <c r="Y20" s="544">
        <f>[1]Mērķi_apst_MK_120313!AU149</f>
        <v>144556639.28999999</v>
      </c>
      <c r="Z20" s="547">
        <f t="shared" si="34"/>
        <v>30949502.769999996</v>
      </c>
      <c r="AA20" s="545">
        <f t="shared" si="5"/>
        <v>0.52522468763081653</v>
      </c>
      <c r="AB20" s="545">
        <f t="shared" si="35"/>
        <v>1.0208616611437771</v>
      </c>
      <c r="AC20" s="544">
        <f>[1]Mērķi_apst_MK_120313!BA149</f>
        <v>32855097.205999997</v>
      </c>
      <c r="AD20" s="544">
        <f>[1]Mērķi_apst_MK_120313!BB149</f>
        <v>149333328.61000004</v>
      </c>
      <c r="AE20" s="547">
        <f t="shared" si="26"/>
        <v>35726192.090000048</v>
      </c>
      <c r="AF20" s="545">
        <f t="shared" si="7"/>
        <v>0.60628689966862515</v>
      </c>
      <c r="AG20" s="545">
        <f t="shared" si="8"/>
        <v>1.0873865892405801</v>
      </c>
      <c r="AH20" s="544">
        <f>[1]Mērķi_apst_MK_120313!BH149</f>
        <v>36989502.665999994</v>
      </c>
      <c r="AI20" s="544">
        <f>[1]Mērķi_apst_MK_120313!BI149</f>
        <v>151266118.43000001</v>
      </c>
      <c r="AJ20" s="544">
        <f t="shared" si="12"/>
        <v>37658981.910000011</v>
      </c>
      <c r="AK20" s="545">
        <f t="shared" si="27"/>
        <v>0.63908706893174838</v>
      </c>
      <c r="AL20" s="546">
        <f t="shared" si="13"/>
        <v>1.0180991685680432</v>
      </c>
      <c r="AM20" s="544">
        <f t="shared" si="14"/>
        <v>669479.24400001764</v>
      </c>
      <c r="AN20" s="544">
        <f>[1]Mērķi_apst_MK_120313!BO149</f>
        <v>43215518.176000006</v>
      </c>
      <c r="AO20" s="544">
        <f>[1]Mērķi_apst_MK_120313!BP149</f>
        <v>157118585.53</v>
      </c>
      <c r="AP20" s="544">
        <f t="shared" si="36"/>
        <v>43511449.010000005</v>
      </c>
      <c r="AQ20" s="545">
        <f t="shared" si="10"/>
        <v>0.7384056339927253</v>
      </c>
      <c r="AR20" s="546">
        <f t="shared" si="11"/>
        <v>1.006847790943864</v>
      </c>
      <c r="AS20" s="544">
        <f t="shared" si="16"/>
        <v>295930.83399999887</v>
      </c>
      <c r="AT20" s="548">
        <f>[1]Mērķi_apst_MK_120313!BV149</f>
        <v>43258565.816000007</v>
      </c>
      <c r="AU20" s="544"/>
      <c r="AV20" s="544"/>
      <c r="AW20" s="545"/>
      <c r="AX20" s="554"/>
      <c r="AY20" s="544">
        <f>[1]Mērķi_apst_MK_120313!BY149</f>
        <v>48981144.816000007</v>
      </c>
      <c r="AZ20" s="544"/>
      <c r="BA20" s="544"/>
      <c r="BB20" s="545"/>
      <c r="BC20" s="554"/>
      <c r="BD20" s="544"/>
      <c r="BE20" s="544"/>
      <c r="BF20" s="545"/>
    </row>
    <row r="21" spans="1:58" ht="15">
      <c r="A21" s="551" t="s">
        <v>847</v>
      </c>
      <c r="B21" s="544">
        <f>[1]Mērķi_apst_MK_120313!CB159</f>
        <v>78250995.230000004</v>
      </c>
      <c r="C21" s="544">
        <f>[1]Mērķi_apst_MK_120313!K159</f>
        <v>276114680.68999994</v>
      </c>
      <c r="D21" s="544">
        <f>[1]Mērķi_apst_MK_120313!R159</f>
        <v>9175497.1400000006</v>
      </c>
      <c r="E21" s="544">
        <f>[1]Mērķi_apst_MK_120313!S159</f>
        <v>282319657.76999998</v>
      </c>
      <c r="F21" s="544">
        <f t="shared" si="28"/>
        <v>6204977.0800000429</v>
      </c>
      <c r="G21" s="545">
        <f t="shared" si="29"/>
        <v>7.9295823161890822E-2</v>
      </c>
      <c r="H21" s="545">
        <f t="shared" si="0"/>
        <v>0.6762551374954755</v>
      </c>
      <c r="I21" s="544">
        <f>[1]Mērķi_apst_MK_120313!Y159</f>
        <v>14513740.254000003</v>
      </c>
      <c r="J21" s="544">
        <f>[1]Mērķi_apst_MK_120313!Z159</f>
        <v>285385186.44999999</v>
      </c>
      <c r="K21" s="544">
        <f t="shared" si="30"/>
        <v>9270505.7600000501</v>
      </c>
      <c r="L21" s="545">
        <f t="shared" si="1"/>
        <v>0.11847141027090614</v>
      </c>
      <c r="M21" s="545">
        <f t="shared" si="2"/>
        <v>0.63873995246987336</v>
      </c>
      <c r="N21" s="544">
        <f>[1]Mērķi_apst_MK_120313!AF159</f>
        <v>16054097.664000001</v>
      </c>
      <c r="O21" s="544">
        <f>[1]Mērķi_apst_MK_120313!AG159</f>
        <v>288129024.14999998</v>
      </c>
      <c r="P21" s="544">
        <f t="shared" si="37"/>
        <v>12014343.460000038</v>
      </c>
      <c r="Q21" s="545">
        <f t="shared" si="31"/>
        <v>0.15353598282918654</v>
      </c>
      <c r="R21" s="545">
        <f t="shared" si="3"/>
        <v>0.74836616242476328</v>
      </c>
      <c r="S21" s="547">
        <f>[1]Mērķi_apst_MK_120313!AM159</f>
        <v>21734450.524</v>
      </c>
      <c r="T21" s="544">
        <f>[1]Mērķi_apst_MK_120313!AN159</f>
        <v>296575063.34000003</v>
      </c>
      <c r="U21" s="547">
        <f t="shared" si="23"/>
        <v>20460382.650000095</v>
      </c>
      <c r="V21" s="545">
        <f t="shared" si="32"/>
        <v>0.26147121311188076</v>
      </c>
      <c r="W21" s="545">
        <f t="shared" si="33"/>
        <v>0.94138025837860351</v>
      </c>
      <c r="X21" s="547">
        <f>[1]Mērķi_apst_MK_120313!AT159</f>
        <v>25623616.643999998</v>
      </c>
      <c r="Y21" s="544">
        <f>[1]Mērķi_apst_MK_120313!AU159</f>
        <v>309029804.56000006</v>
      </c>
      <c r="Z21" s="547">
        <f t="shared" si="34"/>
        <v>32915123.870000124</v>
      </c>
      <c r="AA21" s="545">
        <f t="shared" si="5"/>
        <v>0.42063521075040672</v>
      </c>
      <c r="AB21" s="545">
        <f t="shared" si="35"/>
        <v>1.2845619854255625</v>
      </c>
      <c r="AC21" s="544">
        <f>[1]Mērķi_apst_MK_120313!BA159</f>
        <v>35417396.544000007</v>
      </c>
      <c r="AD21" s="544">
        <f>[1]Mērķi_apst_MK_120313!BB159</f>
        <v>312418708.47999996</v>
      </c>
      <c r="AE21" s="547">
        <f t="shared" si="26"/>
        <v>36304027.790000021</v>
      </c>
      <c r="AF21" s="545">
        <f t="shared" si="7"/>
        <v>0.46394333622585954</v>
      </c>
      <c r="AG21" s="545">
        <f t="shared" si="8"/>
        <v>1.0250337781010677</v>
      </c>
      <c r="AH21" s="544">
        <f>[1]Mērķi_apst_MK_120313!BH159</f>
        <v>41277611.174000002</v>
      </c>
      <c r="AI21" s="544">
        <f>[1]Mērķi_apst_MK_120313!BI159</f>
        <v>320606037.59000003</v>
      </c>
      <c r="AJ21" s="544">
        <f t="shared" si="12"/>
        <v>44491356.900000095</v>
      </c>
      <c r="AK21" s="545">
        <f t="shared" si="27"/>
        <v>0.56857240945279275</v>
      </c>
      <c r="AL21" s="546">
        <f t="shared" si="13"/>
        <v>1.07785687288087</v>
      </c>
      <c r="AM21" s="544">
        <f t="shared" si="14"/>
        <v>3213745.7260000929</v>
      </c>
      <c r="AN21" s="544">
        <f>[1]Mērķi_apst_MK_120313!BO159</f>
        <v>42910097.294</v>
      </c>
      <c r="AO21" s="544">
        <f>[1]Mērķi_apst_MK_120313!BP159</f>
        <v>328032460.27999997</v>
      </c>
      <c r="AP21" s="544">
        <f t="shared" si="36"/>
        <v>51917779.590000033</v>
      </c>
      <c r="AQ21" s="545">
        <f t="shared" si="10"/>
        <v>0.66347756264824731</v>
      </c>
      <c r="AR21" s="546">
        <f t="shared" si="11"/>
        <v>1.2099198758344356</v>
      </c>
      <c r="AS21" s="544">
        <f t="shared" si="16"/>
        <v>9007682.2960000336</v>
      </c>
      <c r="AT21" s="548">
        <f>[1]Mērķi_apst_MK_120313!BV159</f>
        <v>55935085.147999994</v>
      </c>
      <c r="AU21" s="544"/>
      <c r="AV21" s="544"/>
      <c r="AW21" s="545"/>
      <c r="AX21" s="554"/>
      <c r="AY21" s="544">
        <f>[1]Mērķi_apst_MK_120313!BY159</f>
        <v>69262793.928000003</v>
      </c>
      <c r="AZ21" s="544"/>
      <c r="BA21" s="544"/>
      <c r="BB21" s="545"/>
      <c r="BC21" s="554"/>
      <c r="BD21" s="544"/>
      <c r="BE21" s="544"/>
      <c r="BF21" s="545"/>
    </row>
    <row r="22" spans="1:58" ht="15">
      <c r="A22" s="543" t="s">
        <v>854</v>
      </c>
      <c r="B22" s="544">
        <f>[1]Mērķi_apst_MK_120313!CB172</f>
        <v>22345855.609999999</v>
      </c>
      <c r="C22" s="544">
        <f>[1]Mērķi_apst_MK_120313!K172</f>
        <v>91451099.840000004</v>
      </c>
      <c r="D22" s="544">
        <f>[1]Mērķi_apst_MK_120313!R172</f>
        <v>2555898.0699999998</v>
      </c>
      <c r="E22" s="544">
        <f>[1]Mērķi_apst_MK_120313!S172</f>
        <v>94294642.560000002</v>
      </c>
      <c r="F22" s="544">
        <f t="shared" si="28"/>
        <v>2843542.7199999988</v>
      </c>
      <c r="G22" s="545">
        <f t="shared" si="29"/>
        <v>0.1272514585983221</v>
      </c>
      <c r="H22" s="545">
        <f t="shared" si="0"/>
        <v>1.1125415185277709</v>
      </c>
      <c r="I22" s="544">
        <f>[1]Mērķi_apst_MK_120313!Y172</f>
        <v>2988958.81</v>
      </c>
      <c r="J22" s="544">
        <f>[1]Mērķi_apst_MK_120313!Z172</f>
        <v>96115011.039999992</v>
      </c>
      <c r="K22" s="544">
        <f t="shared" si="30"/>
        <v>4663911.1999999881</v>
      </c>
      <c r="L22" s="545">
        <f t="shared" si="1"/>
        <v>0.2087148185953927</v>
      </c>
      <c r="M22" s="545">
        <f t="shared" si="2"/>
        <v>1.5603798835889571</v>
      </c>
      <c r="N22" s="544">
        <f>[1]Mērķi_apst_MK_120313!AF172</f>
        <v>5326700.0999999996</v>
      </c>
      <c r="O22" s="544">
        <f>[1]Mērķi_apst_MK_120313!AG172</f>
        <v>96572190.659999996</v>
      </c>
      <c r="P22" s="544">
        <f t="shared" si="37"/>
        <v>5121090.8199999928</v>
      </c>
      <c r="Q22" s="545">
        <f t="shared" si="31"/>
        <v>0.22917407636466836</v>
      </c>
      <c r="R22" s="545">
        <f t="shared" si="3"/>
        <v>0.96140025228752657</v>
      </c>
      <c r="S22" s="547">
        <f>[1]Mērķi_apst_MK_120313!AM172</f>
        <v>6657646.6199999992</v>
      </c>
      <c r="T22" s="544">
        <f>[1]Mērķi_apst_MK_120313!AN172</f>
        <v>99525669.780000001</v>
      </c>
      <c r="U22" s="547">
        <f t="shared" si="23"/>
        <v>8074569.9399999976</v>
      </c>
      <c r="V22" s="545">
        <f t="shared" si="32"/>
        <v>0.36134530182798391</v>
      </c>
      <c r="W22" s="545">
        <f t="shared" si="33"/>
        <v>1.2128264536816162</v>
      </c>
      <c r="X22" s="547">
        <f>[1]Mērķi_apst_MK_120313!AT172</f>
        <v>7977847.75</v>
      </c>
      <c r="Y22" s="544">
        <f>[1]Mērķi_apst_MK_120313!AU172</f>
        <v>100163959.87</v>
      </c>
      <c r="Z22" s="547">
        <f t="shared" si="34"/>
        <v>8712860.0300000012</v>
      </c>
      <c r="AA22" s="545">
        <f t="shared" si="5"/>
        <v>0.38990943922956822</v>
      </c>
      <c r="AB22" s="545">
        <f t="shared" si="35"/>
        <v>1.0921316504191247</v>
      </c>
      <c r="AC22" s="544">
        <f>[1]Mērķi_apst_MK_120313!BA172</f>
        <v>9307901</v>
      </c>
      <c r="AD22" s="544">
        <f>[1]Mērķi_apst_MK_120313!BB172</f>
        <v>101567240.78</v>
      </c>
      <c r="AE22" s="547">
        <f t="shared" si="26"/>
        <v>10116140.939999998</v>
      </c>
      <c r="AF22" s="545">
        <f t="shared" si="7"/>
        <v>0.45270770189139325</v>
      </c>
      <c r="AG22" s="545">
        <f t="shared" si="8"/>
        <v>1.0868337490912288</v>
      </c>
      <c r="AH22" s="544">
        <f>[1]Mērķi_apst_MK_120313!BH172</f>
        <v>11735832.91</v>
      </c>
      <c r="AI22" s="544">
        <f>[1]Mērķi_apst_MK_120313!BI172</f>
        <v>102628075.23</v>
      </c>
      <c r="AJ22" s="544">
        <f t="shared" si="12"/>
        <v>11176975.390000001</v>
      </c>
      <c r="AK22" s="545">
        <f t="shared" si="27"/>
        <v>0.50018113358784033</v>
      </c>
      <c r="AL22" s="546">
        <f t="shared" si="13"/>
        <v>0.9523802422643729</v>
      </c>
      <c r="AM22" s="544">
        <f t="shared" si="14"/>
        <v>-558857.51999999955</v>
      </c>
      <c r="AN22" s="544">
        <f>[1]Mērķi_apst_MK_120313!BO172</f>
        <v>12875135.489999998</v>
      </c>
      <c r="AO22" s="544">
        <f>[1]Mērķi_apst_MK_120313!BP172</f>
        <v>106597395.93000001</v>
      </c>
      <c r="AP22" s="544">
        <f t="shared" si="36"/>
        <v>15146296.090000004</v>
      </c>
      <c r="AQ22" s="545">
        <f t="shared" si="10"/>
        <v>0.67781231358274241</v>
      </c>
      <c r="AR22" s="546">
        <f t="shared" si="11"/>
        <v>1.1763989669672987</v>
      </c>
      <c r="AS22" s="544">
        <f t="shared" si="16"/>
        <v>2271160.6000000052</v>
      </c>
      <c r="AT22" s="548">
        <f>[1]Mērķi_apst_MK_120313!BV172</f>
        <v>14806603.279999999</v>
      </c>
      <c r="AU22" s="544"/>
      <c r="AV22" s="544"/>
      <c r="AW22" s="545"/>
      <c r="AX22" s="554"/>
      <c r="AY22" s="544">
        <f>[1]Mērķi_apst_MK_120313!BY172</f>
        <v>18890639.34</v>
      </c>
      <c r="AZ22" s="544"/>
      <c r="BA22" s="544"/>
      <c r="BB22" s="545"/>
      <c r="BC22" s="554"/>
      <c r="BD22" s="544"/>
      <c r="BE22" s="544"/>
      <c r="BF22" s="545"/>
    </row>
    <row r="23" spans="1:58" ht="29.25">
      <c r="A23" s="538" t="s">
        <v>855</v>
      </c>
      <c r="B23" s="539">
        <f>SUM(B24:B27)</f>
        <v>183225324.12256026</v>
      </c>
      <c r="C23" s="539">
        <f>SUM(C27:C27)</f>
        <v>271201334.31</v>
      </c>
      <c r="D23" s="539">
        <f>SUM(D24:D27)</f>
        <v>15347366.770000001</v>
      </c>
      <c r="E23" s="539">
        <f>SUM(E27:E27)</f>
        <v>272236674.06</v>
      </c>
      <c r="F23" s="539">
        <f>SUM(F27:F27)</f>
        <v>1035339.75</v>
      </c>
      <c r="G23" s="540">
        <f t="shared" si="29"/>
        <v>5.6506367499039407E-3</v>
      </c>
      <c r="H23" s="540">
        <f t="shared" si="0"/>
        <v>6.7460416207932972E-2</v>
      </c>
      <c r="I23" s="539">
        <f>SUM(I24:I27)</f>
        <v>20543604.509999998</v>
      </c>
      <c r="J23" s="539">
        <f t="shared" ref="J23:K23" si="38">SUM(J24:J27)</f>
        <v>550848783.20000005</v>
      </c>
      <c r="K23" s="539">
        <f t="shared" si="38"/>
        <v>14086046.430000007</v>
      </c>
      <c r="L23" s="540">
        <f t="shared" si="1"/>
        <v>7.6878272681224921E-2</v>
      </c>
      <c r="M23" s="540">
        <f t="shared" si="2"/>
        <v>0.68566577122059325</v>
      </c>
      <c r="N23" s="539">
        <f t="shared" ref="N23:P23" si="39">SUM(N24:N27)</f>
        <v>33969672.683021903</v>
      </c>
      <c r="O23" s="539">
        <f t="shared" si="39"/>
        <v>594854945.76999998</v>
      </c>
      <c r="P23" s="539">
        <f t="shared" si="39"/>
        <v>58092209</v>
      </c>
      <c r="Q23" s="540">
        <f t="shared" si="31"/>
        <v>0.31705338374045855</v>
      </c>
      <c r="R23" s="540">
        <f t="shared" si="3"/>
        <v>1.7101197748377064</v>
      </c>
      <c r="S23" s="539">
        <f t="shared" ref="S23:U23" si="40">SUM(S24:S27)</f>
        <v>48070683.883021906</v>
      </c>
      <c r="T23" s="539">
        <f t="shared" si="40"/>
        <v>599305714.35000002</v>
      </c>
      <c r="U23" s="539">
        <f t="shared" si="40"/>
        <v>62542977.580000028</v>
      </c>
      <c r="V23" s="540">
        <f t="shared" si="32"/>
        <v>0.34134461423118967</v>
      </c>
      <c r="W23" s="540">
        <f t="shared" si="33"/>
        <v>1.3010627793895313</v>
      </c>
      <c r="X23" s="539">
        <f t="shared" ref="X23:Z23" si="41">SUM(X24:X27)</f>
        <v>62106592.843021899</v>
      </c>
      <c r="Y23" s="539">
        <f t="shared" si="41"/>
        <v>596797687.13000011</v>
      </c>
      <c r="Z23" s="539">
        <f t="shared" si="41"/>
        <v>60034950.360000022</v>
      </c>
      <c r="AA23" s="540">
        <f t="shared" si="5"/>
        <v>0.32765640146905878</v>
      </c>
      <c r="AB23" s="540">
        <f t="shared" si="35"/>
        <v>0.96664375892816923</v>
      </c>
      <c r="AC23" s="539">
        <f t="shared" ref="AC23:AE23" si="42">SUM(AC24:AC27)</f>
        <v>81561490.244285271</v>
      </c>
      <c r="AD23" s="539">
        <f t="shared" si="42"/>
        <v>604864676.80000007</v>
      </c>
      <c r="AE23" s="539">
        <f t="shared" si="42"/>
        <v>68101940.030000031</v>
      </c>
      <c r="AF23" s="540">
        <v>0.36152249855563973</v>
      </c>
      <c r="AG23" s="540">
        <f t="shared" si="8"/>
        <v>0.83497665167749546</v>
      </c>
      <c r="AH23" s="539">
        <f t="shared" ref="AH23:AJ23" si="43">SUM(AH24:AH27)</f>
        <v>102845870.10428527</v>
      </c>
      <c r="AI23" s="539">
        <f t="shared" si="43"/>
        <v>616459131.43000007</v>
      </c>
      <c r="AJ23" s="539">
        <f t="shared" si="43"/>
        <v>79696394.660000026</v>
      </c>
      <c r="AK23" s="540">
        <f t="shared" si="27"/>
        <v>0.43496386234629192</v>
      </c>
      <c r="AL23" s="540">
        <f t="shared" si="13"/>
        <v>0.77491098650036438</v>
      </c>
      <c r="AM23" s="539">
        <f t="shared" si="14"/>
        <v>-23149475.444285244</v>
      </c>
      <c r="AN23" s="539">
        <f t="shared" ref="AN23:AP23" si="44">SUM(AN24:AN27)</f>
        <v>113414306.68428527</v>
      </c>
      <c r="AO23" s="539">
        <f t="shared" si="44"/>
        <v>626171240.11000001</v>
      </c>
      <c r="AP23" s="539">
        <f t="shared" si="44"/>
        <v>89408503.340000033</v>
      </c>
      <c r="AQ23" s="540">
        <f t="shared" si="10"/>
        <v>0.48797022883252905</v>
      </c>
      <c r="AR23" s="540">
        <f t="shared" si="11"/>
        <v>0.7883353163625918</v>
      </c>
      <c r="AS23" s="539">
        <f t="shared" ref="AS23" si="45">SUM(AS24:AS27)</f>
        <v>-24005803.344285242</v>
      </c>
      <c r="AT23" s="541">
        <f t="shared" ref="AT23:AV23" si="46">SUM(AT24:AT27)</f>
        <v>147743902.24697363</v>
      </c>
      <c r="AU23" s="539">
        <f t="shared" si="46"/>
        <v>0</v>
      </c>
      <c r="AV23" s="539">
        <f t="shared" si="46"/>
        <v>0</v>
      </c>
      <c r="AW23" s="540"/>
      <c r="AX23" s="542"/>
      <c r="AY23" s="539">
        <f t="shared" ref="AY23:BA23" si="47">SUM(AY24:AY27)</f>
        <v>176885821.74697363</v>
      </c>
      <c r="AZ23" s="539">
        <f t="shared" si="47"/>
        <v>0</v>
      </c>
      <c r="BA23" s="539">
        <f t="shared" si="47"/>
        <v>0</v>
      </c>
      <c r="BB23" s="540"/>
      <c r="BC23" s="542"/>
      <c r="BD23" s="539"/>
      <c r="BE23" s="539"/>
      <c r="BF23" s="540"/>
    </row>
    <row r="24" spans="1:58" ht="15">
      <c r="A24" s="543" t="s">
        <v>843</v>
      </c>
      <c r="B24" s="544">
        <f>[1]Mērķi_apst_MK_120313!CB179</f>
        <v>19096369.161399998</v>
      </c>
      <c r="C24" s="544">
        <f>[1]Mērķi_apst_MK_120313!K179</f>
        <v>22501090.289999999</v>
      </c>
      <c r="D24" s="544">
        <f>[1]Mērķi_apst_MK_120313!R179</f>
        <v>1641104.49</v>
      </c>
      <c r="E24" s="544">
        <f>[1]Mērķi_apst_MK_120313!S179</f>
        <v>23533365.84</v>
      </c>
      <c r="F24" s="544">
        <f>E24-C24</f>
        <v>1032275.5500000007</v>
      </c>
      <c r="G24" s="545">
        <f>F24/B24</f>
        <v>5.4056116179748294E-2</v>
      </c>
      <c r="H24" s="545">
        <f>F24/D24</f>
        <v>0.62901269010604</v>
      </c>
      <c r="I24" s="544">
        <f>[1]Mērķi_apst_MK_120313!Y179</f>
        <v>1985393</v>
      </c>
      <c r="J24" s="544">
        <f>[1]Mērķi_apst_MK_120313!Z179</f>
        <v>23684384.939999998</v>
      </c>
      <c r="K24" s="544">
        <f>J24-C24</f>
        <v>1183294.6499999985</v>
      </c>
      <c r="L24" s="545">
        <f>K24/B24</f>
        <v>6.1964378673189019E-2</v>
      </c>
      <c r="M24" s="545">
        <f>K24/I24</f>
        <v>0.59600021255237556</v>
      </c>
      <c r="N24" s="544">
        <f>[1]Mērķi_apst_MK_120313!AF179</f>
        <v>4715738</v>
      </c>
      <c r="O24" s="544">
        <f>[1]Mērķi_apst_MK_120313!AG179</f>
        <v>24299307.310000002</v>
      </c>
      <c r="P24" s="544">
        <f>O24-C24</f>
        <v>1798217.0200000033</v>
      </c>
      <c r="Q24" s="545">
        <f>P24/B24</f>
        <v>9.4165388446448103E-2</v>
      </c>
      <c r="R24" s="545">
        <f>P24/N24</f>
        <v>0.38132250349786251</v>
      </c>
      <c r="S24" s="547">
        <f>[1]Mērķi_apst_MK_120313!AM179</f>
        <v>6347969</v>
      </c>
      <c r="T24" s="544">
        <f>[1]Mērķi_apst_MK_120313!AN179</f>
        <v>25819538.369999997</v>
      </c>
      <c r="U24" s="547">
        <f>T24-C24</f>
        <v>3318448.0799999982</v>
      </c>
      <c r="V24" s="545">
        <f>U24/B24</f>
        <v>0.17377377091702156</v>
      </c>
      <c r="W24" s="545">
        <f>U24/S24</f>
        <v>0.52275744887853082</v>
      </c>
      <c r="X24" s="547">
        <f>[1]Mērķi_apst_MK_120313!AT179</f>
        <v>7291797</v>
      </c>
      <c r="Y24" s="544">
        <f>[1]Mērķi_apst_MK_120313!AU179</f>
        <v>28893935.809999999</v>
      </c>
      <c r="Z24" s="547">
        <f>Y24-C24</f>
        <v>6392845.5199999996</v>
      </c>
      <c r="AA24" s="545">
        <f>Z24/B24</f>
        <v>0.33476759199450484</v>
      </c>
      <c r="AB24" s="545">
        <f>Z24/X24</f>
        <v>0.87671742918789419</v>
      </c>
      <c r="AC24" s="544">
        <f>[1]Mērķi_apst_MK_120313!BA179</f>
        <v>12426351</v>
      </c>
      <c r="AD24" s="544">
        <f>[1]Mērķi_apst_MK_120313!BB179</f>
        <v>30438752.469999999</v>
      </c>
      <c r="AE24" s="547">
        <f>AD24-C24</f>
        <v>7937662.1799999997</v>
      </c>
      <c r="AF24" s="545">
        <f>AE24/B24</f>
        <v>0.41566342339278867</v>
      </c>
      <c r="AG24" s="553">
        <f>AE24/AC24</f>
        <v>0.63877659499558637</v>
      </c>
      <c r="AH24" s="544">
        <f>[1]Mērķi_apst_MK_120313!BH179</f>
        <v>13250239</v>
      </c>
      <c r="AI24" s="544">
        <f>[1]Mērķi_apst_MK_120313!BI179</f>
        <v>30438752.469999999</v>
      </c>
      <c r="AJ24" s="544">
        <f t="shared" si="12"/>
        <v>7937662.1799999997</v>
      </c>
      <c r="AK24" s="545">
        <f t="shared" si="27"/>
        <v>0.41566342339278867</v>
      </c>
      <c r="AL24" s="550">
        <f t="shared" si="13"/>
        <v>0.59905803812293501</v>
      </c>
      <c r="AM24" s="544">
        <f t="shared" si="14"/>
        <v>-5312576.82</v>
      </c>
      <c r="AN24" s="544">
        <f>[1]Mērķi_apst_MK_120313!BO179</f>
        <v>15468370</v>
      </c>
      <c r="AO24" s="544">
        <f>[1]Mērķi_apst_MK_120313!BP179</f>
        <v>31187600.969999999</v>
      </c>
      <c r="AP24" s="544">
        <f>AO24-C24</f>
        <v>8686510.6799999997</v>
      </c>
      <c r="AQ24" s="545">
        <f t="shared" si="10"/>
        <v>0.45487760561092822</v>
      </c>
      <c r="AR24" s="550">
        <f t="shared" si="11"/>
        <v>0.56156600081327246</v>
      </c>
      <c r="AS24" s="628">
        <f t="shared" si="16"/>
        <v>-6781859.3200000003</v>
      </c>
      <c r="AT24" s="548">
        <f>[1]Mērķi_apst_MK_120313!BV179</f>
        <v>16916145</v>
      </c>
      <c r="AU24" s="544"/>
      <c r="AV24" s="544"/>
      <c r="AW24" s="545"/>
      <c r="AX24" s="554"/>
      <c r="AY24" s="544">
        <f>[1]Mērķi_apst_MK_120313!BY179</f>
        <v>17703963</v>
      </c>
      <c r="AZ24" s="544"/>
      <c r="BA24" s="544"/>
      <c r="BB24" s="545"/>
      <c r="BC24" s="554"/>
      <c r="BD24" s="544"/>
      <c r="BE24" s="544"/>
      <c r="BF24" s="545"/>
    </row>
    <row r="25" spans="1:58" ht="15">
      <c r="A25" s="543" t="s">
        <v>844</v>
      </c>
      <c r="B25" s="544">
        <f>[1]Mērķi_apst_MK_120313!CB185</f>
        <v>804255.54</v>
      </c>
      <c r="C25" s="544">
        <f>[1]Mērķi_apst_MK_120313!K185</f>
        <v>2870628.5</v>
      </c>
      <c r="D25" s="544">
        <f>[1]Mērķi_apst_MK_120313!R185</f>
        <v>69381.48</v>
      </c>
      <c r="E25" s="544">
        <f>[1]Mērķi_apst_MK_120313!S185</f>
        <v>2954519.33</v>
      </c>
      <c r="F25" s="544">
        <f>E25-C25</f>
        <v>83890.830000000075</v>
      </c>
      <c r="G25" s="545">
        <f>F25/B25</f>
        <v>0.10430867532476068</v>
      </c>
      <c r="H25" s="545">
        <f>F25/D25</f>
        <v>1.2091242504483917</v>
      </c>
      <c r="I25" s="544">
        <f>[1]Mērķi_apst_MK_120313!Y185</f>
        <v>158226.18</v>
      </c>
      <c r="J25" s="544">
        <f>[1]Mērķi_apst_MK_120313!Z185</f>
        <v>3290678.54</v>
      </c>
      <c r="K25" s="544">
        <f>J25-C25</f>
        <v>420050.04000000004</v>
      </c>
      <c r="L25" s="545">
        <f>K25/B25</f>
        <v>0.52228429784891506</v>
      </c>
      <c r="M25" s="545">
        <f>K25/I25</f>
        <v>2.654744240175678</v>
      </c>
      <c r="N25" s="544">
        <f>[1]Mērķi_apst_MK_120313!AF185</f>
        <v>206127.38</v>
      </c>
      <c r="O25" s="544">
        <f>[1]Mērķi_apst_MK_120313!AG185</f>
        <v>3290678.54</v>
      </c>
      <c r="P25" s="544">
        <f>O25-C25</f>
        <v>420050.04000000004</v>
      </c>
      <c r="Q25" s="545">
        <f>P25/B25</f>
        <v>0.52228429784891506</v>
      </c>
      <c r="R25" s="545">
        <f>P25/N25</f>
        <v>2.0378177804423654</v>
      </c>
      <c r="S25" s="547">
        <f>[1]Mērķi_apst_MK_120313!AM185</f>
        <v>238558.63</v>
      </c>
      <c r="T25" s="544">
        <f>[1]Mērķi_apst_MK_120313!AN185</f>
        <v>3385224.5300000003</v>
      </c>
      <c r="U25" s="547">
        <f>T25-C25</f>
        <v>514596.03000000026</v>
      </c>
      <c r="V25" s="545">
        <f>U25/B25</f>
        <v>0.63984144890068184</v>
      </c>
      <c r="W25" s="545">
        <f>U25/S25</f>
        <v>2.1571050688880979</v>
      </c>
      <c r="X25" s="547">
        <f>[1]Mērķi_apst_MK_120313!AT185</f>
        <v>384936.03</v>
      </c>
      <c r="Y25" s="544">
        <f>[1]Mērķi_apst_MK_120313!AU185</f>
        <v>3553937.99</v>
      </c>
      <c r="Z25" s="547">
        <f>Y25-C25</f>
        <v>683309.49000000022</v>
      </c>
      <c r="AA25" s="545">
        <f>Z25/B25</f>
        <v>0.8496173865336385</v>
      </c>
      <c r="AB25" s="545">
        <f>Z25/X25</f>
        <v>1.7751247915140607</v>
      </c>
      <c r="AC25" s="544">
        <f>[1]Mērķi_apst_MK_120313!BA185</f>
        <v>384936.03</v>
      </c>
      <c r="AD25" s="544">
        <f>[1]Mērķi_apst_MK_120313!BB185</f>
        <v>3558079.69</v>
      </c>
      <c r="AE25" s="547">
        <f>AD25-C25</f>
        <v>687451.19</v>
      </c>
      <c r="AF25" s="545">
        <f>AE25/B25</f>
        <v>0.85476711792373838</v>
      </c>
      <c r="AG25" s="545">
        <f>AE25/AC25</f>
        <v>1.7858842415972334</v>
      </c>
      <c r="AH25" s="544">
        <f>[1]Mērķi_apst_MK_120313!BH185</f>
        <v>461618.51</v>
      </c>
      <c r="AI25" s="544">
        <f>[1]Mērķi_apst_MK_120313!BI185</f>
        <v>3667534.75</v>
      </c>
      <c r="AJ25" s="544">
        <f t="shared" si="12"/>
        <v>796906.25</v>
      </c>
      <c r="AK25" s="545">
        <f t="shared" si="27"/>
        <v>0.99086199642466866</v>
      </c>
      <c r="AL25" s="546">
        <f t="shared" si="13"/>
        <v>1.7263307963972241</v>
      </c>
      <c r="AM25" s="544">
        <f t="shared" si="14"/>
        <v>335287.74</v>
      </c>
      <c r="AN25" s="544">
        <f>[1]Mērķi_apst_MK_120313!BO185</f>
        <v>574621.77</v>
      </c>
      <c r="AO25" s="544">
        <f>[1]Mērķi_apst_MK_120313!BP185</f>
        <v>3733859.44</v>
      </c>
      <c r="AP25" s="544">
        <f t="shared" ref="AP25:AP27" si="48">AO25-C25</f>
        <v>863230.94</v>
      </c>
      <c r="AQ25" s="545">
        <f t="shared" si="10"/>
        <v>1.0733291809217751</v>
      </c>
      <c r="AR25" s="546">
        <f t="shared" si="11"/>
        <v>1.5022593731525347</v>
      </c>
      <c r="AS25" s="544">
        <f t="shared" si="16"/>
        <v>288609.16999999993</v>
      </c>
      <c r="AT25" s="548">
        <f>[1]Mērķi_apst_MK_120313!BV185</f>
        <v>612592.55000000005</v>
      </c>
      <c r="AU25" s="544"/>
      <c r="AV25" s="544"/>
      <c r="AW25" s="545"/>
      <c r="AX25" s="554"/>
      <c r="AY25" s="544">
        <f>[1]Mērķi_apst_MK_120313!BY185</f>
        <v>654603.1</v>
      </c>
      <c r="AZ25" s="544"/>
      <c r="BA25" s="544"/>
      <c r="BB25" s="545"/>
      <c r="BC25" s="554"/>
      <c r="BD25" s="544"/>
      <c r="BE25" s="544"/>
      <c r="BF25" s="545"/>
    </row>
    <row r="26" spans="1:58" ht="15">
      <c r="A26" s="543" t="s">
        <v>853</v>
      </c>
      <c r="B26" s="544">
        <f>[1]Mērķi_apst_MK_120313!CB187</f>
        <v>110661781</v>
      </c>
      <c r="C26" s="544">
        <f>[1]Mērķi_apst_MK_120313!K187</f>
        <v>240189683.67000002</v>
      </c>
      <c r="D26" s="544">
        <f>[1]Mērķi_apst_MK_120313!R187</f>
        <v>12354111</v>
      </c>
      <c r="E26" s="544">
        <f>[1]Mērķi_apst_MK_120313!S187</f>
        <v>263023342.5</v>
      </c>
      <c r="F26" s="544">
        <f>E26-C26</f>
        <v>22833658.829999983</v>
      </c>
      <c r="G26" s="545">
        <f>F26/B26</f>
        <v>0.20633735173663961</v>
      </c>
      <c r="H26" s="545">
        <f>F26/D26</f>
        <v>1.8482640175403948</v>
      </c>
      <c r="I26" s="544">
        <f>[1]Mērķi_apst_MK_120313!Y187</f>
        <v>15794480</v>
      </c>
      <c r="J26" s="544">
        <f>[1]Mērķi_apst_MK_120313!Z187</f>
        <v>248719261.74000001</v>
      </c>
      <c r="K26" s="544">
        <f>J26-C26</f>
        <v>8529578.0699999928</v>
      </c>
      <c r="L26" s="545">
        <f>K26/B26</f>
        <v>7.7077903436236883E-2</v>
      </c>
      <c r="M26" s="545">
        <f>K26/I26</f>
        <v>0.5400353838809504</v>
      </c>
      <c r="N26" s="544">
        <f>[1]Mērķi_apst_MK_120313!AF187</f>
        <v>23715841</v>
      </c>
      <c r="O26" s="544">
        <f>[1]Mērķi_apst_MK_120313!AG187</f>
        <v>291637793.38</v>
      </c>
      <c r="P26" s="544">
        <f>O26-C26</f>
        <v>51448109.709999979</v>
      </c>
      <c r="Q26" s="545">
        <f>P26/B26</f>
        <v>0.46491308241279777</v>
      </c>
      <c r="R26" s="545">
        <f>P26/N26</f>
        <v>2.169356326431771</v>
      </c>
      <c r="S26" s="547">
        <f>[1]Mērķi_apst_MK_120313!AM187</f>
        <v>28399908</v>
      </c>
      <c r="T26" s="544">
        <f>[1]Mērķi_apst_MK_120313!AN187</f>
        <v>292687381.98000002</v>
      </c>
      <c r="U26" s="547">
        <f>T26-C26</f>
        <v>52497698.310000002</v>
      </c>
      <c r="V26" s="545">
        <f>U26/B26</f>
        <v>0.47439773547472547</v>
      </c>
      <c r="W26" s="545">
        <f>U26/S26</f>
        <v>1.8485164920252559</v>
      </c>
      <c r="X26" s="547">
        <f>[1]Mērķi_apst_MK_120313!AT187</f>
        <v>36570272</v>
      </c>
      <c r="Y26" s="544">
        <f>[1]Mērķi_apst_MK_120313!AU187</f>
        <v>284716507.60000002</v>
      </c>
      <c r="Z26" s="547">
        <f>Y26-C26</f>
        <v>44526823.930000007</v>
      </c>
      <c r="AA26" s="545">
        <f>Z26/B26</f>
        <v>0.40236858224792177</v>
      </c>
      <c r="AB26" s="545">
        <f>Z26/X26</f>
        <v>1.2175688474507382</v>
      </c>
      <c r="AC26" s="544">
        <f>[1]Mērķi_apst_MK_120313!BA187</f>
        <v>44691079</v>
      </c>
      <c r="AD26" s="544">
        <f>[1]Mērķi_apst_MK_120313!BB187</f>
        <v>290459751.89000005</v>
      </c>
      <c r="AE26" s="547">
        <f>AD26-C26</f>
        <v>50270068.220000029</v>
      </c>
      <c r="AF26" s="545">
        <f>AE26/B26</f>
        <v>0.4542676592201243</v>
      </c>
      <c r="AG26" s="545">
        <f>AE26/AC26</f>
        <v>1.1248345160787017</v>
      </c>
      <c r="AH26" s="544">
        <f>[1]Mērķi_apst_MK_120313!BH187</f>
        <v>58578656</v>
      </c>
      <c r="AI26" s="544">
        <f>[1]Mērķi_apst_MK_120313!BI187</f>
        <v>300050315.48000002</v>
      </c>
      <c r="AJ26" s="544">
        <f t="shared" si="12"/>
        <v>59860631.810000002</v>
      </c>
      <c r="AK26" s="545">
        <f t="shared" si="27"/>
        <v>0.54093320448186177</v>
      </c>
      <c r="AL26" s="546">
        <f t="shared" si="13"/>
        <v>1.0218846914138831</v>
      </c>
      <c r="AM26" s="544">
        <f t="shared" si="14"/>
        <v>1281975.8100000024</v>
      </c>
      <c r="AN26" s="544">
        <f>[1]Mērķi_apst_MK_120313!BO187</f>
        <v>63770773</v>
      </c>
      <c r="AO26" s="544">
        <f>[1]Mērķi_apst_MK_120313!BP187</f>
        <v>306597696.70000005</v>
      </c>
      <c r="AP26" s="544">
        <f t="shared" si="48"/>
        <v>66408013.030000031</v>
      </c>
      <c r="AQ26" s="545">
        <f t="shared" si="10"/>
        <v>0.60009889981799613</v>
      </c>
      <c r="AR26" s="546">
        <f t="shared" si="11"/>
        <v>1.0413549954929986</v>
      </c>
      <c r="AS26" s="544">
        <f t="shared" si="16"/>
        <v>2637240.030000031</v>
      </c>
      <c r="AT26" s="548">
        <f>[1]Mērķi_apst_MK_120313!BV187</f>
        <v>88609592</v>
      </c>
      <c r="AU26" s="544"/>
      <c r="AV26" s="544"/>
      <c r="AW26" s="545"/>
      <c r="AX26" s="554"/>
      <c r="AY26" s="544">
        <f>[1]Mērķi_apst_MK_120313!BY187</f>
        <v>109726874</v>
      </c>
      <c r="AZ26" s="544"/>
      <c r="BA26" s="544"/>
      <c r="BB26" s="545"/>
      <c r="BC26" s="554"/>
      <c r="BD26" s="544"/>
      <c r="BE26" s="544"/>
      <c r="BF26" s="545"/>
    </row>
    <row r="27" spans="1:58" ht="15">
      <c r="A27" s="551" t="s">
        <v>847</v>
      </c>
      <c r="B27" s="544">
        <f>[1]Mērķi_apst_MK_120313!CB194</f>
        <v>52662918.421160258</v>
      </c>
      <c r="C27" s="544">
        <f>[1]Mērķi_apst_MK_120313!K194</f>
        <v>271201334.31</v>
      </c>
      <c r="D27" s="544">
        <f>[1]Mērķi_apst_MK_120313!R194</f>
        <v>1282769.8</v>
      </c>
      <c r="E27" s="544">
        <f>[1]Mērķi_apst_MK_120313!S194</f>
        <v>272236674.06</v>
      </c>
      <c r="F27" s="544">
        <f>E27-C27</f>
        <v>1035339.75</v>
      </c>
      <c r="G27" s="545">
        <f t="shared" si="29"/>
        <v>1.9659748852505574E-2</v>
      </c>
      <c r="H27" s="545">
        <f t="shared" si="0"/>
        <v>0.80711266355038913</v>
      </c>
      <c r="I27" s="544">
        <f>[1]Mērķi_apst_MK_120313!Y194</f>
        <v>2605505.33</v>
      </c>
      <c r="J27" s="544">
        <f>[1]Mērķi_apst_MK_120313!Z194</f>
        <v>275154457.98000002</v>
      </c>
      <c r="K27" s="544">
        <f>J27-C27</f>
        <v>3953123.6700000167</v>
      </c>
      <c r="L27" s="545">
        <f t="shared" si="1"/>
        <v>7.5064652482526098E-2</v>
      </c>
      <c r="M27" s="545">
        <f t="shared" si="2"/>
        <v>1.5172195675377937</v>
      </c>
      <c r="N27" s="544">
        <f>[1]Mērķi_apst_MK_120313!AF194</f>
        <v>5331966.3030219059</v>
      </c>
      <c r="O27" s="544">
        <f>[1]Mērķi_apst_MK_120313!AG194</f>
        <v>275627166.54000002</v>
      </c>
      <c r="P27" s="544">
        <f>O27-C27</f>
        <v>4425832.2300000191</v>
      </c>
      <c r="Q27" s="545">
        <f t="shared" si="31"/>
        <v>8.4040770293157444E-2</v>
      </c>
      <c r="R27" s="545">
        <f t="shared" si="3"/>
        <v>0.83005630164835564</v>
      </c>
      <c r="S27" s="547">
        <f>[1]Mērķi_apst_MK_120313!AM194</f>
        <v>13084248.253021905</v>
      </c>
      <c r="T27" s="544">
        <f>[1]Mērķi_apst_MK_120313!AN194</f>
        <v>277413569.47000003</v>
      </c>
      <c r="U27" s="547">
        <f t="shared" si="23"/>
        <v>6212235.1600000262</v>
      </c>
      <c r="V27" s="545">
        <f t="shared" si="32"/>
        <v>0.11796222743143522</v>
      </c>
      <c r="W27" s="545">
        <f t="shared" si="33"/>
        <v>0.47478731982674388</v>
      </c>
      <c r="X27" s="547">
        <f>[1]Mērķi_apst_MK_120313!AT194</f>
        <v>17859587.813021902</v>
      </c>
      <c r="Y27" s="544">
        <f>[1]Mērķi_apst_MK_120313!AU194</f>
        <v>279633305.73000002</v>
      </c>
      <c r="Z27" s="547">
        <f>Y27-C27</f>
        <v>8431971.4200000167</v>
      </c>
      <c r="AA27" s="545">
        <f t="shared" si="5"/>
        <v>0.16011211821887947</v>
      </c>
      <c r="AB27" s="545">
        <f t="shared" si="35"/>
        <v>0.47212575722783712</v>
      </c>
      <c r="AC27" s="544">
        <f>[1]Mērķi_apst_MK_120313!BA194</f>
        <v>24059124.214285269</v>
      </c>
      <c r="AD27" s="544">
        <f>[1]Mērķi_apst_MK_120313!BB194</f>
        <v>280408092.75</v>
      </c>
      <c r="AE27" s="547">
        <f t="shared" si="26"/>
        <v>9206758.4399999976</v>
      </c>
      <c r="AF27" s="545">
        <f t="shared" si="7"/>
        <v>0.1748243112235244</v>
      </c>
      <c r="AG27" s="553">
        <f t="shared" si="8"/>
        <v>0.38267221857283656</v>
      </c>
      <c r="AH27" s="544">
        <f>[1]Mērķi_apst_MK_120313!BH194</f>
        <v>30555356.594285272</v>
      </c>
      <c r="AI27" s="544">
        <f>[1]Mērķi_apst_MK_120313!BI194</f>
        <v>282302528.73000002</v>
      </c>
      <c r="AJ27" s="544">
        <f t="shared" si="12"/>
        <v>11101194.420000017</v>
      </c>
      <c r="AK27" s="545">
        <f t="shared" si="27"/>
        <v>0.21079717480183349</v>
      </c>
      <c r="AL27" s="550">
        <f t="shared" si="13"/>
        <v>0.36331418308750024</v>
      </c>
      <c r="AM27" s="544">
        <f t="shared" si="14"/>
        <v>-19454162.174285255</v>
      </c>
      <c r="AN27" s="544">
        <f>[1]Mērķi_apst_MK_120313!BO194</f>
        <v>33600541.914285272</v>
      </c>
      <c r="AO27" s="544">
        <f>[1]Mērķi_apst_MK_120313!BP194</f>
        <v>284652083</v>
      </c>
      <c r="AP27" s="544">
        <f t="shared" si="48"/>
        <v>13450748.689999998</v>
      </c>
      <c r="AQ27" s="545">
        <f t="shared" si="10"/>
        <v>0.25541213995074397</v>
      </c>
      <c r="AR27" s="550">
        <f t="shared" si="11"/>
        <v>0.4003134450721883</v>
      </c>
      <c r="AS27" s="628">
        <f t="shared" si="16"/>
        <v>-20149793.224285275</v>
      </c>
      <c r="AT27" s="548">
        <f>[1]Mērķi_apst_MK_120313!BV194</f>
        <v>41605572.696973652</v>
      </c>
      <c r="AU27" s="544"/>
      <c r="AV27" s="544"/>
      <c r="AW27" s="545"/>
      <c r="AX27" s="554"/>
      <c r="AY27" s="544">
        <f>[1]Mērķi_apst_MK_120313!BY194</f>
        <v>48800381.646973655</v>
      </c>
      <c r="AZ27" s="544"/>
      <c r="BA27" s="544"/>
      <c r="BB27" s="545"/>
      <c r="BC27" s="554"/>
      <c r="BD27" s="544"/>
      <c r="BE27" s="544"/>
      <c r="BF27" s="545"/>
    </row>
    <row r="28" spans="1:58" thickBot="1">
      <c r="A28" s="555" t="s">
        <v>856</v>
      </c>
      <c r="B28" s="556">
        <f>B6+B14+B23</f>
        <v>493606219.01186031</v>
      </c>
      <c r="C28" s="556">
        <f>C6+C14+C23</f>
        <v>1467511974.9741361</v>
      </c>
      <c r="D28" s="556">
        <f>D6+D14+D23</f>
        <v>53249404.487500004</v>
      </c>
      <c r="E28" s="556">
        <f>E6+E14+E23</f>
        <v>1524660102.6199999</v>
      </c>
      <c r="F28" s="556">
        <f>F6+F14+F23</f>
        <v>57148127.645864025</v>
      </c>
      <c r="G28" s="557">
        <f t="shared" si="29"/>
        <v>0.11577675775695784</v>
      </c>
      <c r="H28" s="557">
        <f t="shared" si="0"/>
        <v>1.0732162771750664</v>
      </c>
      <c r="I28" s="556">
        <f>I6+I14+I23</f>
        <v>87051936.116500005</v>
      </c>
      <c r="J28" s="556">
        <f>J6+J14+J23</f>
        <v>1824435617.6700001</v>
      </c>
      <c r="K28" s="556">
        <f>K6+K14+K23</f>
        <v>93051171.27586402</v>
      </c>
      <c r="L28" s="557">
        <f t="shared" si="1"/>
        <v>0.18851296375913001</v>
      </c>
      <c r="M28" s="557">
        <f t="shared" si="2"/>
        <v>1.0689155856491848</v>
      </c>
      <c r="N28" s="556">
        <f>N6+N14+N23</f>
        <v>117396325.24902192</v>
      </c>
      <c r="O28" s="556">
        <f>O6+O14+O23</f>
        <v>1892310933.9199998</v>
      </c>
      <c r="P28" s="556">
        <f>P6+P14+P23</f>
        <v>161598411.80586404</v>
      </c>
      <c r="Q28" s="557">
        <f t="shared" si="31"/>
        <v>0.32738325730450568</v>
      </c>
      <c r="R28" s="557">
        <f t="shared" si="3"/>
        <v>1.3765201888822358</v>
      </c>
      <c r="S28" s="556">
        <f>S6+S14+S23</f>
        <v>161757426.2135219</v>
      </c>
      <c r="T28" s="556">
        <f>T6+T14+T23</f>
        <v>1928457615.4900002</v>
      </c>
      <c r="U28" s="556">
        <f>U6+U14+U23</f>
        <v>198124082.22586417</v>
      </c>
      <c r="V28" s="557">
        <f t="shared" si="32"/>
        <v>0.40138084690765147</v>
      </c>
      <c r="W28" s="557">
        <f t="shared" si="33"/>
        <v>1.22482217270407</v>
      </c>
      <c r="X28" s="556">
        <f>X6+X14+X23</f>
        <v>199036797.86302188</v>
      </c>
      <c r="Y28" s="556">
        <f>Y6+Y14+Y23</f>
        <v>1958548270.7028162</v>
      </c>
      <c r="Z28" s="556">
        <f>Z6+Z14+Z23</f>
        <v>228690003.31868014</v>
      </c>
      <c r="AA28" s="557">
        <f t="shared" si="5"/>
        <v>0.46330454218443551</v>
      </c>
      <c r="AB28" s="557">
        <f t="shared" si="35"/>
        <v>1.1489835335678267</v>
      </c>
      <c r="AC28" s="556">
        <f>AC6+AC14+AC23</f>
        <v>244824054.23478526</v>
      </c>
      <c r="AD28" s="556">
        <f>AD6+AD14+AD23</f>
        <v>1960925240.314136</v>
      </c>
      <c r="AE28" s="556">
        <f>AE6+AE14+AE23</f>
        <v>231733645.85000008</v>
      </c>
      <c r="AF28" s="557">
        <f t="shared" si="7"/>
        <v>0.46947067707919621</v>
      </c>
      <c r="AG28" s="557">
        <f t="shared" si="8"/>
        <v>0.9465313634083049</v>
      </c>
      <c r="AH28" s="556">
        <f>AH6+AH14+AH23</f>
        <v>288910912.19528526</v>
      </c>
      <c r="AI28" s="556">
        <f t="shared" ref="AI28:AJ28" si="49">AI6+AI14+AI23</f>
        <v>1990284395.814136</v>
      </c>
      <c r="AJ28" s="556">
        <f t="shared" si="49"/>
        <v>261648340.37000006</v>
      </c>
      <c r="AK28" s="557">
        <f t="shared" si="27"/>
        <v>0.53007504827185581</v>
      </c>
      <c r="AL28" s="557">
        <f>AJ28/AH28</f>
        <v>0.90563675280337819</v>
      </c>
      <c r="AM28" s="556">
        <f t="shared" si="14"/>
        <v>-27262571.825285196</v>
      </c>
      <c r="AN28" s="556">
        <f>AN6+AN14+AN23</f>
        <v>321755094.23578531</v>
      </c>
      <c r="AO28" s="556">
        <f>AO23+AO14+AO6</f>
        <v>2072697897.5641358</v>
      </c>
      <c r="AP28" s="556">
        <f>AP23+AP14+AP6</f>
        <v>308438520.45000005</v>
      </c>
      <c r="AQ28" s="557">
        <f t="shared" si="10"/>
        <v>0.62486757372598845</v>
      </c>
      <c r="AR28" s="557">
        <f t="shared" si="11"/>
        <v>0.95861270256679532</v>
      </c>
      <c r="AS28" s="627"/>
      <c r="AT28" s="558">
        <f>AT6+AT14+AT23</f>
        <v>381621720.80447364</v>
      </c>
      <c r="AU28" s="559"/>
      <c r="AV28" s="559"/>
      <c r="AW28" s="560"/>
      <c r="AX28" s="561"/>
      <c r="AY28" s="559">
        <f>AY6+AY14+AY23</f>
        <v>446537430.53597367</v>
      </c>
      <c r="AZ28" s="559"/>
      <c r="BA28" s="559"/>
      <c r="BB28" s="560"/>
      <c r="BC28" s="561"/>
      <c r="BD28" s="559"/>
      <c r="BE28" s="559"/>
      <c r="BF28" s="560"/>
    </row>
    <row r="29" spans="1:58" s="568" customFormat="1" thickBot="1">
      <c r="A29" s="562"/>
      <c r="B29" s="563"/>
      <c r="C29" s="564"/>
      <c r="D29" s="564"/>
      <c r="E29" s="563"/>
      <c r="F29" s="563"/>
      <c r="G29" s="565"/>
      <c r="H29" s="564"/>
      <c r="I29" s="564"/>
      <c r="J29" s="563"/>
      <c r="K29" s="563"/>
      <c r="L29" s="565"/>
      <c r="M29" s="564"/>
      <c r="N29" s="564"/>
      <c r="O29" s="563"/>
      <c r="P29" s="563"/>
      <c r="Q29" s="565"/>
      <c r="R29" s="564"/>
      <c r="S29" s="566"/>
      <c r="T29" s="563"/>
      <c r="U29" s="567"/>
      <c r="V29" s="565"/>
      <c r="W29" s="564"/>
      <c r="X29" s="566"/>
      <c r="Y29" s="563"/>
      <c r="Z29" s="567"/>
      <c r="AA29" s="565"/>
      <c r="AB29" s="564"/>
      <c r="AC29" s="564"/>
      <c r="AD29" s="563"/>
      <c r="AE29" s="563"/>
      <c r="AF29" s="565"/>
      <c r="AG29" s="564"/>
      <c r="AH29" s="564"/>
      <c r="AI29" s="563"/>
      <c r="AJ29" s="563"/>
      <c r="AK29" s="565"/>
      <c r="AL29" s="564"/>
      <c r="AM29" s="564"/>
      <c r="AN29" s="564"/>
      <c r="AO29" s="563"/>
      <c r="AP29" s="563"/>
      <c r="AQ29" s="565"/>
      <c r="AR29" s="564"/>
      <c r="AS29" s="564"/>
      <c r="AT29" s="564"/>
      <c r="AU29" s="563"/>
      <c r="AV29" s="563"/>
      <c r="AW29" s="565"/>
      <c r="AX29" s="564"/>
      <c r="AY29" s="564"/>
      <c r="AZ29" s="563"/>
      <c r="BA29" s="563"/>
      <c r="BB29" s="565"/>
      <c r="BC29" s="564"/>
      <c r="BD29" s="563"/>
      <c r="BE29" s="563"/>
      <c r="BF29" s="565"/>
    </row>
    <row r="30" spans="1:58" s="568" customFormat="1" ht="137.25" customHeight="1">
      <c r="A30" s="569" t="s">
        <v>857</v>
      </c>
      <c r="B30" s="570" t="s">
        <v>773</v>
      </c>
      <c r="C30" s="571" t="s">
        <v>774</v>
      </c>
      <c r="D30" s="572" t="s">
        <v>775</v>
      </c>
      <c r="E30" s="524" t="s">
        <v>776</v>
      </c>
      <c r="F30" s="524" t="s">
        <v>777</v>
      </c>
      <c r="G30" s="525" t="s">
        <v>778</v>
      </c>
      <c r="H30" s="525" t="s">
        <v>779</v>
      </c>
      <c r="I30" s="572" t="s">
        <v>780</v>
      </c>
      <c r="J30" s="524" t="s">
        <v>781</v>
      </c>
      <c r="K30" s="524" t="s">
        <v>782</v>
      </c>
      <c r="L30" s="525" t="s">
        <v>783</v>
      </c>
      <c r="M30" s="525" t="s">
        <v>784</v>
      </c>
      <c r="N30" s="572" t="s">
        <v>785</v>
      </c>
      <c r="O30" s="524" t="s">
        <v>786</v>
      </c>
      <c r="P30" s="524" t="s">
        <v>787</v>
      </c>
      <c r="Q30" s="525" t="s">
        <v>783</v>
      </c>
      <c r="R30" s="525" t="s">
        <v>788</v>
      </c>
      <c r="S30" s="573" t="s">
        <v>789</v>
      </c>
      <c r="T30" s="524" t="s">
        <v>790</v>
      </c>
      <c r="U30" s="574" t="s">
        <v>791</v>
      </c>
      <c r="V30" s="525" t="s">
        <v>783</v>
      </c>
      <c r="W30" s="525" t="s">
        <v>792</v>
      </c>
      <c r="X30" s="575" t="s">
        <v>793</v>
      </c>
      <c r="Y30" s="524" t="s">
        <v>794</v>
      </c>
      <c r="Z30" s="574" t="s">
        <v>795</v>
      </c>
      <c r="AA30" s="525" t="s">
        <v>783</v>
      </c>
      <c r="AB30" s="576" t="s">
        <v>796</v>
      </c>
      <c r="AC30" s="577" t="s">
        <v>797</v>
      </c>
      <c r="AD30" s="524" t="s">
        <v>798</v>
      </c>
      <c r="AE30" s="524" t="s">
        <v>799</v>
      </c>
      <c r="AF30" s="525" t="s">
        <v>783</v>
      </c>
      <c r="AG30" s="526" t="s">
        <v>800</v>
      </c>
      <c r="AH30" s="577" t="s">
        <v>801</v>
      </c>
      <c r="AI30" s="524" t="s">
        <v>802</v>
      </c>
      <c r="AJ30" s="524" t="s">
        <v>803</v>
      </c>
      <c r="AK30" s="525" t="s">
        <v>783</v>
      </c>
      <c r="AL30" s="526" t="s">
        <v>804</v>
      </c>
      <c r="AM30" s="578" t="s">
        <v>805</v>
      </c>
      <c r="AN30" s="523" t="s">
        <v>806</v>
      </c>
      <c r="AO30" s="524" t="s">
        <v>807</v>
      </c>
      <c r="AP30" s="524" t="s">
        <v>808</v>
      </c>
      <c r="AQ30" s="525" t="s">
        <v>783</v>
      </c>
      <c r="AR30" s="525" t="s">
        <v>809</v>
      </c>
      <c r="AS30" s="576"/>
      <c r="AT30" s="526" t="s">
        <v>810</v>
      </c>
      <c r="AU30" s="524" t="s">
        <v>811</v>
      </c>
      <c r="AV30" s="524" t="s">
        <v>812</v>
      </c>
      <c r="AW30" s="525" t="s">
        <v>783</v>
      </c>
      <c r="AX30" s="525" t="s">
        <v>813</v>
      </c>
      <c r="AY30" s="526" t="s">
        <v>814</v>
      </c>
      <c r="AZ30" s="524" t="s">
        <v>815</v>
      </c>
      <c r="BA30" s="524" t="s">
        <v>816</v>
      </c>
      <c r="BB30" s="525" t="s">
        <v>783</v>
      </c>
      <c r="BC30" s="525" t="s">
        <v>817</v>
      </c>
      <c r="BD30" s="524" t="s">
        <v>818</v>
      </c>
      <c r="BE30" s="524" t="s">
        <v>819</v>
      </c>
      <c r="BF30" s="525" t="s">
        <v>783</v>
      </c>
    </row>
    <row r="31" spans="1:58" ht="16.5" customHeight="1">
      <c r="A31" s="579">
        <v>1</v>
      </c>
      <c r="B31" s="580">
        <v>2</v>
      </c>
      <c r="C31" s="581">
        <v>2.1</v>
      </c>
      <c r="D31" s="518">
        <v>3</v>
      </c>
      <c r="E31" s="527"/>
      <c r="F31" s="518">
        <v>4</v>
      </c>
      <c r="G31" s="518"/>
      <c r="H31" s="518" t="s">
        <v>820</v>
      </c>
      <c r="I31" s="518">
        <v>6</v>
      </c>
      <c r="J31" s="518"/>
      <c r="K31" s="518">
        <v>7</v>
      </c>
      <c r="L31" s="518"/>
      <c r="M31" s="518" t="s">
        <v>821</v>
      </c>
      <c r="N31" s="518">
        <v>9</v>
      </c>
      <c r="O31" s="518"/>
      <c r="P31" s="518">
        <v>10</v>
      </c>
      <c r="Q31" s="518"/>
      <c r="R31" s="518" t="s">
        <v>822</v>
      </c>
      <c r="S31" s="528">
        <v>12</v>
      </c>
      <c r="T31" s="518"/>
      <c r="U31" s="528">
        <v>13</v>
      </c>
      <c r="V31" s="518"/>
      <c r="W31" s="518" t="s">
        <v>823</v>
      </c>
      <c r="X31" s="528">
        <v>15</v>
      </c>
      <c r="Y31" s="518"/>
      <c r="Z31" s="528">
        <v>16</v>
      </c>
      <c r="AA31" s="518"/>
      <c r="AB31" s="582" t="s">
        <v>824</v>
      </c>
      <c r="AC31" s="583">
        <v>3</v>
      </c>
      <c r="AD31" s="518"/>
      <c r="AE31" s="518">
        <v>4</v>
      </c>
      <c r="AF31" s="518">
        <v>5</v>
      </c>
      <c r="AG31" s="580">
        <v>6</v>
      </c>
      <c r="AH31" s="583">
        <v>7</v>
      </c>
      <c r="AI31" s="518"/>
      <c r="AJ31" s="518">
        <v>8</v>
      </c>
      <c r="AK31" s="518">
        <v>9</v>
      </c>
      <c r="AL31" s="580">
        <v>10</v>
      </c>
      <c r="AM31" s="584">
        <v>11</v>
      </c>
      <c r="AN31" s="529">
        <v>24</v>
      </c>
      <c r="AO31" s="530"/>
      <c r="AP31" s="530">
        <v>25</v>
      </c>
      <c r="AQ31" s="530"/>
      <c r="AR31" s="530" t="s">
        <v>825</v>
      </c>
      <c r="AS31" s="530"/>
      <c r="AT31" s="530">
        <v>27</v>
      </c>
      <c r="AU31" s="530"/>
      <c r="AV31" s="530">
        <v>28</v>
      </c>
      <c r="AW31" s="530"/>
      <c r="AX31" s="530" t="s">
        <v>826</v>
      </c>
      <c r="AY31" s="530">
        <v>30</v>
      </c>
      <c r="AZ31" s="530"/>
      <c r="BA31" s="530">
        <v>31</v>
      </c>
      <c r="BB31" s="530"/>
      <c r="BC31" s="530" t="s">
        <v>827</v>
      </c>
      <c r="BD31" s="530"/>
      <c r="BE31" s="530">
        <v>34</v>
      </c>
      <c r="BF31" s="530" t="s">
        <v>828</v>
      </c>
    </row>
    <row r="32" spans="1:58" ht="16.5" customHeight="1">
      <c r="A32" s="579"/>
      <c r="B32" s="580"/>
      <c r="C32" s="581"/>
      <c r="D32" s="817" t="s">
        <v>829</v>
      </c>
      <c r="E32" s="817"/>
      <c r="F32" s="817"/>
      <c r="G32" s="817"/>
      <c r="H32" s="817"/>
      <c r="I32" s="817" t="s">
        <v>830</v>
      </c>
      <c r="J32" s="817"/>
      <c r="K32" s="817"/>
      <c r="L32" s="817"/>
      <c r="M32" s="817"/>
      <c r="N32" s="817" t="s">
        <v>831</v>
      </c>
      <c r="O32" s="817"/>
      <c r="P32" s="817"/>
      <c r="Q32" s="817"/>
      <c r="R32" s="817"/>
      <c r="S32" s="817" t="s">
        <v>832</v>
      </c>
      <c r="T32" s="817"/>
      <c r="U32" s="817"/>
      <c r="V32" s="817"/>
      <c r="W32" s="817"/>
      <c r="X32" s="817" t="s">
        <v>833</v>
      </c>
      <c r="Y32" s="817"/>
      <c r="Z32" s="817"/>
      <c r="AA32" s="817"/>
      <c r="AB32" s="819"/>
      <c r="AC32" s="816" t="s">
        <v>834</v>
      </c>
      <c r="AD32" s="817"/>
      <c r="AE32" s="817"/>
      <c r="AF32" s="817"/>
      <c r="AG32" s="818"/>
      <c r="AH32" s="816" t="s">
        <v>835</v>
      </c>
      <c r="AI32" s="817"/>
      <c r="AJ32" s="817"/>
      <c r="AK32" s="817"/>
      <c r="AL32" s="818"/>
      <c r="AM32" s="585"/>
      <c r="AN32" s="820" t="s">
        <v>836</v>
      </c>
      <c r="AO32" s="820"/>
      <c r="AP32" s="820"/>
      <c r="AQ32" s="820"/>
      <c r="AR32" s="821"/>
      <c r="AS32" s="585"/>
      <c r="AT32" s="819" t="s">
        <v>837</v>
      </c>
      <c r="AU32" s="820"/>
      <c r="AV32" s="820"/>
      <c r="AW32" s="820"/>
      <c r="AX32" s="821"/>
      <c r="AY32" s="819" t="s">
        <v>838</v>
      </c>
      <c r="AZ32" s="820"/>
      <c r="BA32" s="820"/>
      <c r="BB32" s="820"/>
      <c r="BC32" s="821"/>
      <c r="BD32" s="820" t="s">
        <v>839</v>
      </c>
      <c r="BE32" s="820"/>
      <c r="BF32" s="822"/>
    </row>
    <row r="33" spans="1:58" s="568" customFormat="1" ht="15">
      <c r="A33" s="586" t="s">
        <v>843</v>
      </c>
      <c r="B33" s="587">
        <f t="shared" ref="B33:F34" si="50">B7+B15+B24</f>
        <v>66532285.114699997</v>
      </c>
      <c r="C33" s="548">
        <f t="shared" si="50"/>
        <v>258662838.92413595</v>
      </c>
      <c r="D33" s="544">
        <f t="shared" si="50"/>
        <v>8725022.9600000009</v>
      </c>
      <c r="E33" s="544">
        <f t="shared" si="50"/>
        <v>292223157.56999993</v>
      </c>
      <c r="F33" s="544">
        <f t="shared" si="50"/>
        <v>33560318.645863995</v>
      </c>
      <c r="G33" s="545">
        <f t="shared" ref="G33:G42" si="51">F33/B33</f>
        <v>0.50442155395695254</v>
      </c>
      <c r="H33" s="545">
        <f t="shared" ref="H33:H42" si="52">F33/D33</f>
        <v>3.8464447371338482</v>
      </c>
      <c r="I33" s="544">
        <f t="shared" ref="I33:K34" si="53">I7+I15+I24</f>
        <v>11407350.880000001</v>
      </c>
      <c r="J33" s="544">
        <f t="shared" si="53"/>
        <v>294764936.16999996</v>
      </c>
      <c r="K33" s="544">
        <f t="shared" si="53"/>
        <v>36102097.245863989</v>
      </c>
      <c r="L33" s="545">
        <f t="shared" ref="L33:L42" si="54">K33/B33</f>
        <v>0.54262524101832477</v>
      </c>
      <c r="M33" s="545">
        <f t="shared" ref="M33:M42" si="55">K33/I33</f>
        <v>3.1648099217461771</v>
      </c>
      <c r="N33" s="544">
        <f t="shared" ref="N33:P34" si="56">N7+N15+N24</f>
        <v>18850921.460000001</v>
      </c>
      <c r="O33" s="544">
        <f t="shared" si="56"/>
        <v>299237355.31</v>
      </c>
      <c r="P33" s="544">
        <f t="shared" si="56"/>
        <v>40574516.385864034</v>
      </c>
      <c r="Q33" s="545">
        <f t="shared" ref="Q33:Q42" si="57">P33/B33</f>
        <v>0.6098470286405252</v>
      </c>
      <c r="R33" s="545">
        <f t="shared" ref="R33:R42" si="58">P33/N33</f>
        <v>2.1523890209801997</v>
      </c>
      <c r="S33" s="547">
        <f t="shared" ref="S33:U34" si="59">S7+S15+S24</f>
        <v>25635787.960000001</v>
      </c>
      <c r="T33" s="544">
        <f t="shared" si="59"/>
        <v>303713755.35000002</v>
      </c>
      <c r="U33" s="547">
        <f t="shared" si="59"/>
        <v>45050916.425864041</v>
      </c>
      <c r="V33" s="545">
        <f t="shared" ref="V33:V41" si="60">U33/B33</f>
        <v>0.67712865037173131</v>
      </c>
      <c r="W33" s="545">
        <f t="shared" ref="W33:W42" si="61">U33/S33</f>
        <v>1.7573447126399169</v>
      </c>
      <c r="X33" s="547">
        <f t="shared" ref="X33:Z34" si="62">X7+X15+X24</f>
        <v>31661488.490000002</v>
      </c>
      <c r="Y33" s="544">
        <f t="shared" si="62"/>
        <v>311922467.70281601</v>
      </c>
      <c r="Z33" s="547">
        <f t="shared" si="62"/>
        <v>53259628.778680027</v>
      </c>
      <c r="AA33" s="545">
        <f t="shared" ref="AA33:AA42" si="63">Z33/B33</f>
        <v>0.80050803436048767</v>
      </c>
      <c r="AB33" s="588">
        <f t="shared" ref="AB33:AB42" si="64">Z33/X33</f>
        <v>1.6821580828551888</v>
      </c>
      <c r="AC33" s="589">
        <f t="shared" ref="AC33:AE34" si="65">AC7+AC15+AC24</f>
        <v>40865695.189999998</v>
      </c>
      <c r="AD33" s="544">
        <f t="shared" si="65"/>
        <v>291614342.04413605</v>
      </c>
      <c r="AE33" s="544">
        <f t="shared" si="65"/>
        <v>32951503.120000057</v>
      </c>
      <c r="AF33" s="545">
        <f t="shared" ref="AF33:AF42" si="66">AE33/B33</f>
        <v>0.49527087583407797</v>
      </c>
      <c r="AG33" s="590">
        <f>AE33/AC33</f>
        <v>0.80633653647138792</v>
      </c>
      <c r="AH33" s="589">
        <f t="shared" ref="AH33:AJ34" si="67">AH7+AH15+AH24</f>
        <v>44934104.590000004</v>
      </c>
      <c r="AI33" s="544">
        <f t="shared" si="67"/>
        <v>292949465.39413601</v>
      </c>
      <c r="AJ33" s="544">
        <f t="shared" si="67"/>
        <v>34286626.470000036</v>
      </c>
      <c r="AK33" s="545">
        <f>AJ33/B33</f>
        <v>0.51533817620859934</v>
      </c>
      <c r="AL33" s="546">
        <f>AJ33/AH33</f>
        <v>0.7630423880223588</v>
      </c>
      <c r="AM33" s="589">
        <f t="shared" ref="AM33:AM42" si="68">AJ33-AH33</f>
        <v>-10647478.119999968</v>
      </c>
      <c r="AN33" s="548">
        <f>AN7+AN15+AN24</f>
        <v>50204188.030000001</v>
      </c>
      <c r="AO33" s="544">
        <f t="shared" ref="AO33:AP34" si="69">AO7+AO15+AO24</f>
        <v>302918325.54413605</v>
      </c>
      <c r="AP33" s="544">
        <f t="shared" si="69"/>
        <v>44255486.62000002</v>
      </c>
      <c r="AQ33" s="545">
        <f>AP33/B33</f>
        <v>0.6651731042110558</v>
      </c>
      <c r="AR33" s="546">
        <f>AP33/AN33</f>
        <v>0.88150985717675034</v>
      </c>
      <c r="AS33" s="546"/>
      <c r="AT33" s="544">
        <f>AT7+AT15+AT24</f>
        <v>57363591.030000001</v>
      </c>
      <c r="AU33" s="544"/>
      <c r="AV33" s="544"/>
      <c r="AW33" s="545"/>
      <c r="AX33" s="554"/>
      <c r="AY33" s="544">
        <f>AY7+AY15+AY24</f>
        <v>62383240.43</v>
      </c>
      <c r="AZ33" s="544"/>
      <c r="BA33" s="544"/>
      <c r="BB33" s="545"/>
      <c r="BC33" s="554"/>
      <c r="BD33" s="544"/>
      <c r="BE33" s="544"/>
      <c r="BF33" s="545"/>
    </row>
    <row r="34" spans="1:58" s="568" customFormat="1" ht="15">
      <c r="A34" s="586" t="s">
        <v>844</v>
      </c>
      <c r="B34" s="587">
        <f t="shared" si="50"/>
        <v>11287948.289999999</v>
      </c>
      <c r="C34" s="548">
        <f t="shared" si="50"/>
        <v>38966052.07</v>
      </c>
      <c r="D34" s="544">
        <f t="shared" si="50"/>
        <v>855578</v>
      </c>
      <c r="E34" s="544">
        <f t="shared" si="50"/>
        <v>39797088.689999998</v>
      </c>
      <c r="F34" s="544">
        <f t="shared" si="50"/>
        <v>831036.61999999918</v>
      </c>
      <c r="G34" s="545">
        <f t="shared" si="51"/>
        <v>7.362158282884898E-2</v>
      </c>
      <c r="H34" s="545">
        <f t="shared" si="52"/>
        <v>0.97131602261862648</v>
      </c>
      <c r="I34" s="544">
        <f t="shared" si="53"/>
        <v>2549261.62</v>
      </c>
      <c r="J34" s="544">
        <f t="shared" si="53"/>
        <v>41825249.189999998</v>
      </c>
      <c r="K34" s="544">
        <f t="shared" si="53"/>
        <v>2859197.1199999982</v>
      </c>
      <c r="L34" s="545">
        <f t="shared" si="54"/>
        <v>0.25329644028693532</v>
      </c>
      <c r="M34" s="545">
        <f t="shared" si="55"/>
        <v>1.1215785377100675</v>
      </c>
      <c r="N34" s="544">
        <f t="shared" si="56"/>
        <v>2710908.35</v>
      </c>
      <c r="O34" s="544">
        <f t="shared" si="56"/>
        <v>41825249.189999998</v>
      </c>
      <c r="P34" s="544">
        <f t="shared" si="56"/>
        <v>2859197.1199999982</v>
      </c>
      <c r="Q34" s="545">
        <f t="shared" si="57"/>
        <v>0.25329644028693532</v>
      </c>
      <c r="R34" s="545">
        <f t="shared" si="58"/>
        <v>1.054700768471202</v>
      </c>
      <c r="S34" s="547">
        <f t="shared" si="59"/>
        <v>3487822.01</v>
      </c>
      <c r="T34" s="544">
        <f t="shared" si="59"/>
        <v>42497868.859999999</v>
      </c>
      <c r="U34" s="547">
        <f t="shared" si="59"/>
        <v>3531816.7900000019</v>
      </c>
      <c r="V34" s="545">
        <f t="shared" si="60"/>
        <v>0.31288385623885617</v>
      </c>
      <c r="W34" s="545">
        <f t="shared" si="61"/>
        <v>1.0126138260134445</v>
      </c>
      <c r="X34" s="547">
        <f t="shared" si="62"/>
        <v>5296614.59</v>
      </c>
      <c r="Y34" s="544">
        <f t="shared" si="62"/>
        <v>44229592.689999998</v>
      </c>
      <c r="Z34" s="547">
        <f t="shared" si="62"/>
        <v>5263540.6199999973</v>
      </c>
      <c r="AA34" s="545">
        <f t="shared" si="63"/>
        <v>0.46629737174318664</v>
      </c>
      <c r="AB34" s="588">
        <f t="shared" si="64"/>
        <v>0.99375563967549274</v>
      </c>
      <c r="AC34" s="589">
        <f t="shared" si="65"/>
        <v>5296614.59</v>
      </c>
      <c r="AD34" s="544">
        <f t="shared" si="65"/>
        <v>44349898.489999995</v>
      </c>
      <c r="AE34" s="544">
        <f t="shared" si="65"/>
        <v>5383846.4199999999</v>
      </c>
      <c r="AF34" s="545">
        <f t="shared" si="66"/>
        <v>0.47695526960993906</v>
      </c>
      <c r="AG34" s="554">
        <f t="shared" ref="AG34:AG42" si="70">AE34/AC34</f>
        <v>1.0164693557588074</v>
      </c>
      <c r="AH34" s="589">
        <f t="shared" si="67"/>
        <v>6359555.129999999</v>
      </c>
      <c r="AI34" s="544">
        <f t="shared" si="67"/>
        <v>45630519.450000003</v>
      </c>
      <c r="AJ34" s="544">
        <f t="shared" si="67"/>
        <v>6664467.3800000008</v>
      </c>
      <c r="AK34" s="545">
        <f t="shared" ref="AK34:AK42" si="71">AJ34/B34</f>
        <v>0.59040555544571882</v>
      </c>
      <c r="AL34" s="546">
        <f t="shared" ref="AL34:AL42" si="72">AJ34/AH34</f>
        <v>1.0479455313724124</v>
      </c>
      <c r="AM34" s="589">
        <f t="shared" si="68"/>
        <v>304912.25000000186</v>
      </c>
      <c r="AN34" s="548">
        <f>AN8+AN16+AN25</f>
        <v>8179820.8599999994</v>
      </c>
      <c r="AO34" s="544">
        <f t="shared" si="69"/>
        <v>46752999.379999995</v>
      </c>
      <c r="AP34" s="544">
        <f t="shared" si="69"/>
        <v>7786947.3099999987</v>
      </c>
      <c r="AQ34" s="545">
        <f>AP34/B34</f>
        <v>0.6898461181735267</v>
      </c>
      <c r="AR34" s="546">
        <f t="shared" ref="AR34:AR42" si="73">AP34/AN34</f>
        <v>0.95197039681869011</v>
      </c>
      <c r="AS34" s="546"/>
      <c r="AT34" s="544">
        <f>AT8+AT16+AT25</f>
        <v>8307956.54</v>
      </c>
      <c r="AU34" s="544"/>
      <c r="AV34" s="544"/>
      <c r="AW34" s="545"/>
      <c r="AX34" s="554"/>
      <c r="AY34" s="544">
        <f>AY8+AY16+AY25</f>
        <v>9328368.209999999</v>
      </c>
      <c r="AZ34" s="544"/>
      <c r="BA34" s="544"/>
      <c r="BB34" s="545"/>
      <c r="BC34" s="554"/>
      <c r="BD34" s="544"/>
      <c r="BE34" s="544"/>
      <c r="BF34" s="545"/>
    </row>
    <row r="35" spans="1:58" s="568" customFormat="1" ht="15">
      <c r="A35" s="586" t="s">
        <v>851</v>
      </c>
      <c r="B35" s="587">
        <f>B9+B17</f>
        <v>52587054.864</v>
      </c>
      <c r="C35" s="548">
        <f>C9+C17</f>
        <v>297259024.02000004</v>
      </c>
      <c r="D35" s="544">
        <f>D9+D17</f>
        <v>5137369.0240000002</v>
      </c>
      <c r="E35" s="544">
        <f>E9+E17</f>
        <v>303011716.68000001</v>
      </c>
      <c r="F35" s="544">
        <f>F9+F17</f>
        <v>5752692.6599999517</v>
      </c>
      <c r="G35" s="545">
        <f t="shared" si="51"/>
        <v>0.10939370297267066</v>
      </c>
      <c r="H35" s="545">
        <f t="shared" si="52"/>
        <v>1.119774077572659</v>
      </c>
      <c r="I35" s="544">
        <f>I9+I17</f>
        <v>8546576.6740000006</v>
      </c>
      <c r="J35" s="544">
        <f>J9+J17</f>
        <v>305380268.08000004</v>
      </c>
      <c r="K35" s="544">
        <f>K9+K17</f>
        <v>8121244.0599999726</v>
      </c>
      <c r="L35" s="545">
        <f t="shared" si="54"/>
        <v>0.15443428199208029</v>
      </c>
      <c r="M35" s="545">
        <f t="shared" si="55"/>
        <v>0.95023356950696347</v>
      </c>
      <c r="N35" s="544">
        <f>N9+N17</f>
        <v>11290787.674000001</v>
      </c>
      <c r="O35" s="544">
        <f>O9+O17</f>
        <v>311369562.49000001</v>
      </c>
      <c r="P35" s="544">
        <f>P9+P17</f>
        <v>14110538.469999969</v>
      </c>
      <c r="Q35" s="545">
        <f t="shared" si="57"/>
        <v>0.26832722438045775</v>
      </c>
      <c r="R35" s="545">
        <f t="shared" si="58"/>
        <v>1.2497390684702347</v>
      </c>
      <c r="S35" s="547">
        <f>S9+S17</f>
        <v>18801123.674000002</v>
      </c>
      <c r="T35" s="544">
        <f>T9+T17</f>
        <v>317223121.98000002</v>
      </c>
      <c r="U35" s="547">
        <f>U9+U17</f>
        <v>19964097.959999949</v>
      </c>
      <c r="V35" s="545">
        <f t="shared" si="60"/>
        <v>0.37963901974793712</v>
      </c>
      <c r="W35" s="545">
        <f t="shared" si="61"/>
        <v>1.0618566371970746</v>
      </c>
      <c r="X35" s="547">
        <f>X9+X17</f>
        <v>22247266.674000002</v>
      </c>
      <c r="Y35" s="544">
        <f>Y9+Y17</f>
        <v>321660661.51999998</v>
      </c>
      <c r="Z35" s="547">
        <f>Z9+Z17</f>
        <v>24401637.49999997</v>
      </c>
      <c r="AA35" s="545">
        <f t="shared" si="63"/>
        <v>0.46402365683165159</v>
      </c>
      <c r="AB35" s="588">
        <f t="shared" si="64"/>
        <v>1.0968375512178197</v>
      </c>
      <c r="AC35" s="589">
        <f>AC9+AC17</f>
        <v>27642266.674000002</v>
      </c>
      <c r="AD35" s="544">
        <f>AD9+AD17</f>
        <v>325701878.30999994</v>
      </c>
      <c r="AE35" s="544">
        <f>AE9+AE17</f>
        <v>28442854.289999932</v>
      </c>
      <c r="AF35" s="545">
        <f t="shared" si="66"/>
        <v>0.5408717860994211</v>
      </c>
      <c r="AG35" s="554">
        <f t="shared" si="70"/>
        <v>1.0289624445578827</v>
      </c>
      <c r="AH35" s="589">
        <f>AH9+AH17</f>
        <v>30468372.864</v>
      </c>
      <c r="AI35" s="544">
        <f>AI9+AI17</f>
        <v>326728910.91999996</v>
      </c>
      <c r="AJ35" s="544">
        <f>AJ9+AJ17</f>
        <v>29469886.899999917</v>
      </c>
      <c r="AK35" s="545">
        <f t="shared" si="71"/>
        <v>0.56040192736053729</v>
      </c>
      <c r="AL35" s="546">
        <f t="shared" si="72"/>
        <v>0.96722877298184018</v>
      </c>
      <c r="AM35" s="589">
        <f t="shared" si="68"/>
        <v>-998485.96400008351</v>
      </c>
      <c r="AN35" s="548">
        <f>AN9+AN17</f>
        <v>36156312.864</v>
      </c>
      <c r="AO35" s="544">
        <f>AO9+AO17</f>
        <v>334042087.65999997</v>
      </c>
      <c r="AP35" s="544">
        <f>AP9+AP17</f>
        <v>36783063.639999956</v>
      </c>
      <c r="AQ35" s="545">
        <f t="shared" ref="AQ35:AQ42" si="74">AP35/B35</f>
        <v>0.69946993105295341</v>
      </c>
      <c r="AR35" s="546">
        <f t="shared" si="73"/>
        <v>1.0173344770623445</v>
      </c>
      <c r="AS35" s="546"/>
      <c r="AT35" s="544">
        <f>AT9+AT17</f>
        <v>37453405.864</v>
      </c>
      <c r="AU35" s="544"/>
      <c r="AV35" s="544"/>
      <c r="AW35" s="545"/>
      <c r="AX35" s="554"/>
      <c r="AY35" s="544">
        <f>AY9+AY17</f>
        <v>41625918.864</v>
      </c>
      <c r="AZ35" s="544"/>
      <c r="BA35" s="544"/>
      <c r="BB35" s="545"/>
      <c r="BC35" s="554"/>
      <c r="BD35" s="544"/>
      <c r="BE35" s="544"/>
      <c r="BF35" s="545"/>
    </row>
    <row r="36" spans="1:58" s="568" customFormat="1" ht="15">
      <c r="A36" s="586" t="s">
        <v>852</v>
      </c>
      <c r="B36" s="587">
        <f>B18</f>
        <v>6807205.2300000004</v>
      </c>
      <c r="C36" s="548">
        <f>C18</f>
        <v>11695311.630000001</v>
      </c>
      <c r="D36" s="544">
        <f>D18</f>
        <v>858301.42</v>
      </c>
      <c r="E36" s="544">
        <f>E18</f>
        <v>12461663.940000001</v>
      </c>
      <c r="F36" s="544">
        <f>F18</f>
        <v>766352.31000000052</v>
      </c>
      <c r="G36" s="545">
        <f t="shared" si="51"/>
        <v>0.1125795806218113</v>
      </c>
      <c r="H36" s="545">
        <f t="shared" si="52"/>
        <v>0.89287084017640383</v>
      </c>
      <c r="I36" s="544">
        <f>I18</f>
        <v>1077502.42</v>
      </c>
      <c r="J36" s="544">
        <f>J18</f>
        <v>12604965.609999999</v>
      </c>
      <c r="K36" s="544">
        <f>K18</f>
        <v>909653.97999999858</v>
      </c>
      <c r="L36" s="545">
        <f t="shared" si="54"/>
        <v>0.1336310496400295</v>
      </c>
      <c r="M36" s="545">
        <f t="shared" si="55"/>
        <v>0.84422453547714416</v>
      </c>
      <c r="N36" s="544">
        <f>N18</f>
        <v>3068243.23</v>
      </c>
      <c r="O36" s="544">
        <f>O18</f>
        <v>14287514.849999998</v>
      </c>
      <c r="P36" s="544">
        <f>P18</f>
        <v>2592203.2199999969</v>
      </c>
      <c r="Q36" s="545">
        <f t="shared" si="57"/>
        <v>0.38080285997194724</v>
      </c>
      <c r="R36" s="545">
        <f t="shared" si="58"/>
        <v>0.84484932441291394</v>
      </c>
      <c r="S36" s="547">
        <f>S18</f>
        <v>3437587.23</v>
      </c>
      <c r="T36" s="544">
        <f>T18</f>
        <v>14468081.16</v>
      </c>
      <c r="U36" s="547">
        <f>U18</f>
        <v>2772769.5299999993</v>
      </c>
      <c r="V36" s="545">
        <f t="shared" si="60"/>
        <v>0.40732862258657054</v>
      </c>
      <c r="W36" s="545">
        <f t="shared" si="61"/>
        <v>0.80660339490497801</v>
      </c>
      <c r="X36" s="547">
        <f>X18</f>
        <v>3889058.23</v>
      </c>
      <c r="Y36" s="544">
        <f>Y18</f>
        <v>14650791.209999999</v>
      </c>
      <c r="Z36" s="547">
        <f>Z18</f>
        <v>2955479.5799999982</v>
      </c>
      <c r="AA36" s="545">
        <f t="shared" si="63"/>
        <v>0.43416930739430609</v>
      </c>
      <c r="AB36" s="588">
        <f t="shared" si="64"/>
        <v>0.7599473716288373</v>
      </c>
      <c r="AC36" s="589">
        <f>AC18</f>
        <v>4564439.2300000004</v>
      </c>
      <c r="AD36" s="544">
        <f>AD18</f>
        <v>14966553.75</v>
      </c>
      <c r="AE36" s="544">
        <f>AE18</f>
        <v>3271242.1199999992</v>
      </c>
      <c r="AF36" s="545">
        <f t="shared" si="66"/>
        <v>0.48055582422920412</v>
      </c>
      <c r="AG36" s="590">
        <f t="shared" si="70"/>
        <v>0.71667995895302983</v>
      </c>
      <c r="AH36" s="589">
        <f>AH18</f>
        <v>4969663.2300000004</v>
      </c>
      <c r="AI36" s="544">
        <f>AI18</f>
        <v>15444806.520000001</v>
      </c>
      <c r="AJ36" s="544">
        <f>AJ18</f>
        <v>3749494.8900000006</v>
      </c>
      <c r="AK36" s="545">
        <f t="shared" si="71"/>
        <v>0.55081267029758707</v>
      </c>
      <c r="AL36" s="546">
        <f t="shared" si="72"/>
        <v>0.75447665495031946</v>
      </c>
      <c r="AM36" s="589">
        <f t="shared" si="68"/>
        <v>-1220168.3399999999</v>
      </c>
      <c r="AN36" s="548">
        <f>AN18</f>
        <v>5097494.2300000004</v>
      </c>
      <c r="AO36" s="544">
        <f>AO18</f>
        <v>15481759.140000001</v>
      </c>
      <c r="AP36" s="544">
        <f>AP18</f>
        <v>3786447.51</v>
      </c>
      <c r="AQ36" s="545">
        <f t="shared" si="74"/>
        <v>0.55624112716813146</v>
      </c>
      <c r="AR36" s="546">
        <f t="shared" si="73"/>
        <v>0.74280564904141133</v>
      </c>
      <c r="AS36" s="546"/>
      <c r="AT36" s="544">
        <f>AT18</f>
        <v>6196245.2300000004</v>
      </c>
      <c r="AU36" s="544"/>
      <c r="AV36" s="544"/>
      <c r="AW36" s="545"/>
      <c r="AX36" s="554"/>
      <c r="AY36" s="544">
        <f>AY18</f>
        <v>6805330.2300000004</v>
      </c>
      <c r="AZ36" s="544"/>
      <c r="BA36" s="544"/>
      <c r="BB36" s="545"/>
      <c r="BC36" s="554"/>
      <c r="BD36" s="544"/>
      <c r="BE36" s="544"/>
      <c r="BF36" s="545"/>
    </row>
    <row r="37" spans="1:58" s="568" customFormat="1" ht="15">
      <c r="A37" s="586" t="s">
        <v>846</v>
      </c>
      <c r="B37" s="587">
        <f>B10+B19</f>
        <v>29415232.489999998</v>
      </c>
      <c r="C37" s="548">
        <f>C10+C19</f>
        <v>148951049.35999998</v>
      </c>
      <c r="D37" s="544">
        <f>D10+D19</f>
        <v>6236852</v>
      </c>
      <c r="E37" s="544">
        <f>E10+E19</f>
        <v>155764948.90000001</v>
      </c>
      <c r="F37" s="544">
        <f>F10+F19</f>
        <v>6813899.5400000215</v>
      </c>
      <c r="G37" s="545">
        <f t="shared" si="51"/>
        <v>0.23164527230292925</v>
      </c>
      <c r="H37" s="545">
        <f t="shared" si="52"/>
        <v>1.0925222435934061</v>
      </c>
      <c r="I37" s="544">
        <f>I10+I19</f>
        <v>7846068</v>
      </c>
      <c r="J37" s="544">
        <f>J10+J19</f>
        <v>157324139.84</v>
      </c>
      <c r="K37" s="544">
        <f>K10+K19</f>
        <v>8373090.4800000191</v>
      </c>
      <c r="L37" s="545">
        <f t="shared" si="54"/>
        <v>0.28465151457995563</v>
      </c>
      <c r="M37" s="545">
        <f t="shared" si="55"/>
        <v>1.0671702666864498</v>
      </c>
      <c r="N37" s="544">
        <f>N10+N19</f>
        <v>10098395</v>
      </c>
      <c r="O37" s="544">
        <f>O10+O19</f>
        <v>159320054.22</v>
      </c>
      <c r="P37" s="544">
        <f>P10+P19</f>
        <v>10369004.859999996</v>
      </c>
      <c r="Q37" s="545">
        <f t="shared" si="57"/>
        <v>0.35250460330459882</v>
      </c>
      <c r="R37" s="545">
        <f t="shared" si="58"/>
        <v>1.0267973138305637</v>
      </c>
      <c r="S37" s="547">
        <f>S10+S19</f>
        <v>12584776.49</v>
      </c>
      <c r="T37" s="544">
        <f>T10+T19</f>
        <v>161698314.47000006</v>
      </c>
      <c r="U37" s="547">
        <f>U10+U19</f>
        <v>12747265.110000055</v>
      </c>
      <c r="V37" s="545">
        <f t="shared" si="60"/>
        <v>0.43335591905770643</v>
      </c>
      <c r="W37" s="545">
        <f t="shared" si="61"/>
        <v>1.012911522117947</v>
      </c>
      <c r="X37" s="547">
        <f>X10+X19</f>
        <v>14997459.49</v>
      </c>
      <c r="Y37" s="544">
        <f>Y10+Y19</f>
        <v>164271144.82000002</v>
      </c>
      <c r="Z37" s="547">
        <f>Z10+Z19</f>
        <v>15320095.460000023</v>
      </c>
      <c r="AA37" s="545">
        <f t="shared" si="63"/>
        <v>0.52082183831823337</v>
      </c>
      <c r="AB37" s="588">
        <f t="shared" si="64"/>
        <v>1.0215127082166917</v>
      </c>
      <c r="AC37" s="589">
        <f>AC10+AC19</f>
        <v>17406912.489999998</v>
      </c>
      <c r="AD37" s="544">
        <f>AD10+AD19</f>
        <v>166949848.37</v>
      </c>
      <c r="AE37" s="544">
        <f>AE10+AE19</f>
        <v>17998799.010000005</v>
      </c>
      <c r="AF37" s="545">
        <f t="shared" si="66"/>
        <v>0.61188702200871181</v>
      </c>
      <c r="AG37" s="554">
        <f t="shared" si="70"/>
        <v>1.034002958327046</v>
      </c>
      <c r="AH37" s="589">
        <f>AH10+AH19</f>
        <v>19771877.489999998</v>
      </c>
      <c r="AI37" s="544">
        <f>AI10+AI19</f>
        <v>169754658.79999998</v>
      </c>
      <c r="AJ37" s="544">
        <f>AJ10+AJ19</f>
        <v>20803609.439999983</v>
      </c>
      <c r="AK37" s="545">
        <f t="shared" si="71"/>
        <v>0.70723933414676821</v>
      </c>
      <c r="AL37" s="546">
        <f t="shared" si="72"/>
        <v>1.0521817895403105</v>
      </c>
      <c r="AM37" s="589">
        <f t="shared" si="68"/>
        <v>1031731.9499999844</v>
      </c>
      <c r="AN37" s="548">
        <f>AN10+AN19</f>
        <v>22306068.489999998</v>
      </c>
      <c r="AO37" s="544">
        <f>AO10+AO19</f>
        <v>171868863.44999999</v>
      </c>
      <c r="AP37" s="544">
        <f>AP10+AP19</f>
        <v>22917814.089999989</v>
      </c>
      <c r="AQ37" s="545">
        <f t="shared" si="74"/>
        <v>0.77911381791019763</v>
      </c>
      <c r="AR37" s="546">
        <f t="shared" si="73"/>
        <v>1.027425074942016</v>
      </c>
      <c r="AS37" s="546"/>
      <c r="AT37" s="544">
        <f>AT10+AT19</f>
        <v>24474279.489999998</v>
      </c>
      <c r="AU37" s="544"/>
      <c r="AV37" s="544"/>
      <c r="AW37" s="545"/>
      <c r="AX37" s="554"/>
      <c r="AY37" s="544">
        <f>AY10+AY19</f>
        <v>26753127.489999998</v>
      </c>
      <c r="AZ37" s="544"/>
      <c r="BA37" s="544"/>
      <c r="BB37" s="545"/>
      <c r="BC37" s="554"/>
      <c r="BD37" s="544"/>
      <c r="BE37" s="544"/>
      <c r="BF37" s="545"/>
    </row>
    <row r="38" spans="1:58" s="568" customFormat="1" ht="15">
      <c r="A38" s="586" t="s">
        <v>853</v>
      </c>
      <c r="B38" s="587">
        <f>B20+B26</f>
        <v>169587995.81600001</v>
      </c>
      <c r="C38" s="548">
        <f>C20+C26</f>
        <v>353796820.19</v>
      </c>
      <c r="D38" s="544">
        <f>D20+D26</f>
        <v>17017408.350000001</v>
      </c>
      <c r="E38" s="544">
        <f>E20+E26</f>
        <v>377444736.79000002</v>
      </c>
      <c r="F38" s="544">
        <f>F20+F26</f>
        <v>23647916.599999994</v>
      </c>
      <c r="G38" s="545">
        <f t="shared" si="51"/>
        <v>0.13944334023298185</v>
      </c>
      <c r="H38" s="545">
        <f t="shared" si="52"/>
        <v>1.3896309069882542</v>
      </c>
      <c r="I38" s="544">
        <f>I20+I26</f>
        <v>33853279.32</v>
      </c>
      <c r="J38" s="544">
        <f>J20+J26</f>
        <v>371075840.93000001</v>
      </c>
      <c r="K38" s="544">
        <f>K20+K26</f>
        <v>17279020.739999995</v>
      </c>
      <c r="L38" s="545">
        <f t="shared" si="54"/>
        <v>0.10188823010059879</v>
      </c>
      <c r="M38" s="545">
        <f t="shared" si="55"/>
        <v>0.51040906780903239</v>
      </c>
      <c r="N38" s="544">
        <f>N20+N26</f>
        <v>42650158.990000002</v>
      </c>
      <c r="O38" s="544">
        <f>O20+O26</f>
        <v>421684861.19</v>
      </c>
      <c r="P38" s="544">
        <f>P20+P26</f>
        <v>67888041</v>
      </c>
      <c r="Q38" s="545">
        <f t="shared" si="57"/>
        <v>0.40031159442238662</v>
      </c>
      <c r="R38" s="545">
        <f t="shared" si="58"/>
        <v>1.5917418037273299</v>
      </c>
      <c r="S38" s="547">
        <f>S20+S26</f>
        <v>54018563.240000002</v>
      </c>
      <c r="T38" s="544">
        <f>T20+T26</f>
        <v>431272285.79000002</v>
      </c>
      <c r="U38" s="547">
        <f>U20+U26</f>
        <v>77475465.600000009</v>
      </c>
      <c r="V38" s="545">
        <f t="shared" si="60"/>
        <v>0.4568452220171263</v>
      </c>
      <c r="W38" s="545">
        <f t="shared" si="61"/>
        <v>1.4342378055444187</v>
      </c>
      <c r="X38" s="547">
        <f>X20+X26</f>
        <v>66887310.975999996</v>
      </c>
      <c r="Y38" s="544">
        <f>Y20+Y26</f>
        <v>429273146.88999999</v>
      </c>
      <c r="Z38" s="547">
        <f>Z20+Z26</f>
        <v>75476326.700000003</v>
      </c>
      <c r="AA38" s="545">
        <f t="shared" si="63"/>
        <v>0.44505701206523185</v>
      </c>
      <c r="AB38" s="588">
        <f t="shared" si="64"/>
        <v>1.128410241025863</v>
      </c>
      <c r="AC38" s="589">
        <f>AC20+AC26</f>
        <v>77546176.206</v>
      </c>
      <c r="AD38" s="544">
        <f>AD20+AD26</f>
        <v>439793080.50000012</v>
      </c>
      <c r="AE38" s="544">
        <f>AE20+AE26</f>
        <v>85996260.310000077</v>
      </c>
      <c r="AF38" s="545">
        <f t="shared" si="66"/>
        <v>0.50708931310978222</v>
      </c>
      <c r="AG38" s="554">
        <f t="shared" si="70"/>
        <v>1.1089684174955652</v>
      </c>
      <c r="AH38" s="589">
        <f>AH20+AH26</f>
        <v>95568158.665999994</v>
      </c>
      <c r="AI38" s="544">
        <f>AI20+AI26</f>
        <v>451316433.91000003</v>
      </c>
      <c r="AJ38" s="544">
        <f>AJ20+AJ26</f>
        <v>97519613.720000014</v>
      </c>
      <c r="AK38" s="545">
        <f t="shared" si="71"/>
        <v>0.57503842327264176</v>
      </c>
      <c r="AL38" s="546">
        <f t="shared" si="72"/>
        <v>1.02041951086261</v>
      </c>
      <c r="AM38" s="589">
        <f t="shared" si="68"/>
        <v>1951455.05400002</v>
      </c>
      <c r="AN38" s="548">
        <f>AN20+AN26</f>
        <v>106986291.176</v>
      </c>
      <c r="AO38" s="544">
        <f>AO20+AO26</f>
        <v>463716282.23000002</v>
      </c>
      <c r="AP38" s="544">
        <f>AP20+AP26</f>
        <v>109919462.04000004</v>
      </c>
      <c r="AQ38" s="545">
        <f t="shared" si="74"/>
        <v>0.64815591169118314</v>
      </c>
      <c r="AR38" s="546">
        <f t="shared" si="73"/>
        <v>1.0274163243884655</v>
      </c>
      <c r="AS38" s="546"/>
      <c r="AT38" s="544">
        <f>AT20+AT26</f>
        <v>131868157.81600001</v>
      </c>
      <c r="AU38" s="544"/>
      <c r="AV38" s="544"/>
      <c r="AW38" s="545"/>
      <c r="AX38" s="554"/>
      <c r="AY38" s="544">
        <f>AY20+AY26</f>
        <v>158708018.81600001</v>
      </c>
      <c r="AZ38" s="544"/>
      <c r="BA38" s="544"/>
      <c r="BB38" s="545"/>
      <c r="BC38" s="554"/>
      <c r="BD38" s="544"/>
      <c r="BE38" s="544"/>
      <c r="BF38" s="545"/>
    </row>
    <row r="39" spans="1:58" s="568" customFormat="1" ht="30">
      <c r="A39" s="591" t="s">
        <v>849</v>
      </c>
      <c r="B39" s="587">
        <f>B13</f>
        <v>1952665.6159999999</v>
      </c>
      <c r="C39" s="548">
        <f>C13</f>
        <v>5502817.4700000007</v>
      </c>
      <c r="D39" s="544">
        <f>D13</f>
        <v>264623.8235</v>
      </c>
      <c r="E39" s="544">
        <f>E13</f>
        <v>5698441.1399999997</v>
      </c>
      <c r="F39" s="544">
        <f>F13</f>
        <v>195623.66999999899</v>
      </c>
      <c r="G39" s="545">
        <f t="shared" si="51"/>
        <v>0.10018288251560989</v>
      </c>
      <c r="H39" s="545">
        <f t="shared" si="52"/>
        <v>0.73925192151113706</v>
      </c>
      <c r="I39" s="544">
        <f>I13</f>
        <v>402286.6985</v>
      </c>
      <c r="J39" s="544">
        <f>J13</f>
        <v>5910148.1199999992</v>
      </c>
      <c r="K39" s="544">
        <f>K13</f>
        <v>407330.64999999851</v>
      </c>
      <c r="L39" s="545">
        <f t="shared" si="54"/>
        <v>0.20860235703561369</v>
      </c>
      <c r="M39" s="545">
        <f t="shared" si="55"/>
        <v>1.0125382010362407</v>
      </c>
      <c r="N39" s="544">
        <f>N13</f>
        <v>719511.64800000004</v>
      </c>
      <c r="O39" s="544">
        <f>O13</f>
        <v>6009796.71</v>
      </c>
      <c r="P39" s="544">
        <f>P13</f>
        <v>506979.23999999929</v>
      </c>
      <c r="Q39" s="545">
        <f t="shared" si="57"/>
        <v>0.25963443809623538</v>
      </c>
      <c r="R39" s="545">
        <f t="shared" si="58"/>
        <v>0.70461575070984706</v>
      </c>
      <c r="S39" s="547">
        <f>S13</f>
        <v>866089.99249999993</v>
      </c>
      <c r="T39" s="544">
        <f>T13</f>
        <v>6163236.7400000002</v>
      </c>
      <c r="U39" s="547">
        <f>U13</f>
        <v>660419.26999999955</v>
      </c>
      <c r="V39" s="545">
        <f t="shared" si="60"/>
        <v>0.3382142157820428</v>
      </c>
      <c r="W39" s="545">
        <f t="shared" si="61"/>
        <v>0.7625296166899187</v>
      </c>
      <c r="X39" s="547">
        <f>X13</f>
        <v>1099488.8160000001</v>
      </c>
      <c r="Y39" s="544">
        <f>Y13</f>
        <v>6247496.3500000006</v>
      </c>
      <c r="Z39" s="547">
        <f>Z13</f>
        <v>744678.87999999989</v>
      </c>
      <c r="AA39" s="545">
        <f t="shared" si="63"/>
        <v>0.3813652854324649</v>
      </c>
      <c r="AB39" s="588">
        <f t="shared" si="64"/>
        <v>0.67729554786121604</v>
      </c>
      <c r="AC39" s="589">
        <f>AC13</f>
        <v>1203795.7365000001</v>
      </c>
      <c r="AD39" s="544">
        <f>AD13</f>
        <v>6355576.2200000007</v>
      </c>
      <c r="AE39" s="544">
        <f>AE13</f>
        <v>852758.75</v>
      </c>
      <c r="AF39" s="545">
        <f t="shared" si="66"/>
        <v>0.43671519742681841</v>
      </c>
      <c r="AG39" s="592">
        <f t="shared" si="70"/>
        <v>0.70839156855578378</v>
      </c>
      <c r="AH39" s="589">
        <f>AH13</f>
        <v>1396897.4170000001</v>
      </c>
      <c r="AI39" s="544">
        <f>AI13</f>
        <v>6483082.79</v>
      </c>
      <c r="AJ39" s="544">
        <f>AJ13</f>
        <v>980265.31999999937</v>
      </c>
      <c r="AK39" s="545">
        <f t="shared" si="71"/>
        <v>0.50201391982722321</v>
      </c>
      <c r="AL39" s="546">
        <f t="shared" si="72"/>
        <v>0.70174467220737891</v>
      </c>
      <c r="AM39" s="589">
        <f t="shared" si="68"/>
        <v>-416632.09700000077</v>
      </c>
      <c r="AN39" s="548">
        <f>AN13</f>
        <v>1491376.2975000001</v>
      </c>
      <c r="AO39" s="544">
        <f>AO13</f>
        <v>6547714.0800000001</v>
      </c>
      <c r="AP39" s="544">
        <f>AP13</f>
        <v>1044896.6099999994</v>
      </c>
      <c r="AQ39" s="545">
        <f t="shared" si="74"/>
        <v>0.53511292534584143</v>
      </c>
      <c r="AR39" s="546">
        <f t="shared" si="73"/>
        <v>0.70062573191726574</v>
      </c>
      <c r="AS39" s="546"/>
      <c r="AT39" s="544">
        <f>AT13</f>
        <v>1654821.2094999999</v>
      </c>
      <c r="AU39" s="544"/>
      <c r="AV39" s="544"/>
      <c r="AW39" s="545"/>
      <c r="AX39" s="554"/>
      <c r="AY39" s="544">
        <f>AY13</f>
        <v>1821652.4509999999</v>
      </c>
      <c r="AZ39" s="544"/>
      <c r="BA39" s="544"/>
      <c r="BB39" s="545"/>
      <c r="BC39" s="554"/>
      <c r="BD39" s="544"/>
      <c r="BE39" s="544"/>
      <c r="BF39" s="545"/>
    </row>
    <row r="40" spans="1:58" s="568" customFormat="1" ht="15">
      <c r="A40" s="586" t="s">
        <v>848</v>
      </c>
      <c r="B40" s="587">
        <f>B12+B22</f>
        <v>23834693.379999999</v>
      </c>
      <c r="C40" s="548">
        <f>C12+C22</f>
        <v>98000743.469999999</v>
      </c>
      <c r="D40" s="544">
        <f>D12+D22</f>
        <v>3502123.26</v>
      </c>
      <c r="E40" s="544">
        <f>E12+E22</f>
        <v>101791398.90000001</v>
      </c>
      <c r="F40" s="544">
        <f>F12+F22</f>
        <v>3790655.4299999988</v>
      </c>
      <c r="G40" s="545">
        <f t="shared" si="51"/>
        <v>0.15903940401351196</v>
      </c>
      <c r="H40" s="545">
        <f t="shared" si="52"/>
        <v>1.0823877826618813</v>
      </c>
      <c r="I40" s="544">
        <f>I12+I22</f>
        <v>3935184</v>
      </c>
      <c r="J40" s="544">
        <f>J12+J22</f>
        <v>103625662.19</v>
      </c>
      <c r="K40" s="544">
        <f>K12+K22</f>
        <v>5624918.7199999886</v>
      </c>
      <c r="L40" s="545">
        <f t="shared" si="54"/>
        <v>0.23599710851409278</v>
      </c>
      <c r="M40" s="545">
        <f t="shared" si="55"/>
        <v>1.4293915405226258</v>
      </c>
      <c r="N40" s="544">
        <f>N12+N22</f>
        <v>6272925.2899999991</v>
      </c>
      <c r="O40" s="544">
        <f>O12+O22</f>
        <v>104082841.81</v>
      </c>
      <c r="P40" s="544">
        <f>P12+P22</f>
        <v>6082098.3399999933</v>
      </c>
      <c r="Q40" s="545">
        <f t="shared" si="57"/>
        <v>0.25517837561541956</v>
      </c>
      <c r="R40" s="545">
        <f t="shared" si="58"/>
        <v>0.96957927263947918</v>
      </c>
      <c r="S40" s="547">
        <f>S12+S22</f>
        <v>7659172.5399999991</v>
      </c>
      <c r="T40" s="544">
        <f>T12+T22</f>
        <v>107036320.93000001</v>
      </c>
      <c r="U40" s="547">
        <f>U12+U22</f>
        <v>9035577.4599999972</v>
      </c>
      <c r="V40" s="545">
        <f t="shared" si="60"/>
        <v>0.37909350525070601</v>
      </c>
      <c r="W40" s="545">
        <f t="shared" si="61"/>
        <v>1.1797067389214342</v>
      </c>
      <c r="X40" s="547">
        <f>X12+X22</f>
        <v>8979373.6699999999</v>
      </c>
      <c r="Y40" s="544">
        <f>Y12+Y22</f>
        <v>107674611.02000001</v>
      </c>
      <c r="Z40" s="547">
        <f>Z12+Z22</f>
        <v>9673867.5500000007</v>
      </c>
      <c r="AA40" s="545">
        <f t="shared" si="63"/>
        <v>0.40587337943761714</v>
      </c>
      <c r="AB40" s="588">
        <f t="shared" si="64"/>
        <v>1.077343243028219</v>
      </c>
      <c r="AC40" s="589">
        <f>AC12+AC22</f>
        <v>10309426.92</v>
      </c>
      <c r="AD40" s="544">
        <f>AD12+AD22</f>
        <v>109077891.93000001</v>
      </c>
      <c r="AE40" s="544">
        <f>AE12+AE22</f>
        <v>11077148.459999997</v>
      </c>
      <c r="AF40" s="545">
        <f t="shared" si="66"/>
        <v>0.46474893901068498</v>
      </c>
      <c r="AG40" s="554">
        <f t="shared" si="70"/>
        <v>1.0744679162049871</v>
      </c>
      <c r="AH40" s="589">
        <f>AH12+AH22</f>
        <v>13044979.050000001</v>
      </c>
      <c r="AI40" s="544">
        <f>AI12+AI22</f>
        <v>110321085.92</v>
      </c>
      <c r="AJ40" s="544">
        <f>AJ12+AJ22</f>
        <v>12320342.450000001</v>
      </c>
      <c r="AK40" s="545">
        <f t="shared" si="71"/>
        <v>0.51690794815670504</v>
      </c>
      <c r="AL40" s="546">
        <f t="shared" si="72"/>
        <v>0.94445091883838639</v>
      </c>
      <c r="AM40" s="589">
        <f t="shared" si="68"/>
        <v>-724636.59999999963</v>
      </c>
      <c r="AN40" s="548">
        <f>AN12+AN22</f>
        <v>14184281.629999999</v>
      </c>
      <c r="AO40" s="544">
        <f>AO12+AO22</f>
        <v>114290406.62</v>
      </c>
      <c r="AP40" s="544">
        <f>AP12+AP22</f>
        <v>16289663.150000004</v>
      </c>
      <c r="AQ40" s="545">
        <f t="shared" si="74"/>
        <v>0.68344336930589056</v>
      </c>
      <c r="AR40" s="546">
        <f t="shared" si="73"/>
        <v>1.1484306061399039</v>
      </c>
      <c r="AS40" s="546"/>
      <c r="AT40" s="544">
        <f>AT12+AT22</f>
        <v>16115749.42</v>
      </c>
      <c r="AU40" s="544"/>
      <c r="AV40" s="544"/>
      <c r="AW40" s="545"/>
      <c r="AX40" s="554"/>
      <c r="AY40" s="544">
        <f>AY12+AY22</f>
        <v>20379477.109999999</v>
      </c>
      <c r="AZ40" s="544"/>
      <c r="BA40" s="544"/>
      <c r="BB40" s="545"/>
      <c r="BC40" s="554"/>
      <c r="BD40" s="544"/>
      <c r="BE40" s="544"/>
      <c r="BF40" s="545"/>
    </row>
    <row r="41" spans="1:58" s="568" customFormat="1" ht="15">
      <c r="A41" s="593" t="s">
        <v>847</v>
      </c>
      <c r="B41" s="587">
        <f>B11+B21+B27</f>
        <v>131601138.21116027</v>
      </c>
      <c r="C41" s="548">
        <f>C11+C21+C27</f>
        <v>551424719.98000002</v>
      </c>
      <c r="D41" s="544">
        <f>D11+D21+D27</f>
        <v>10652125.650000002</v>
      </c>
      <c r="E41" s="544">
        <f>E11+E21+E27</f>
        <v>558766797.24000001</v>
      </c>
      <c r="F41" s="544">
        <f>F11+F21+F27</f>
        <v>7342077.2600000426</v>
      </c>
      <c r="G41" s="545">
        <f t="shared" si="51"/>
        <v>5.5790378106147766E-2</v>
      </c>
      <c r="H41" s="545">
        <f t="shared" si="52"/>
        <v>0.68925935547897343</v>
      </c>
      <c r="I41" s="544">
        <f>I11+I21+I27</f>
        <v>17434426.504000001</v>
      </c>
      <c r="J41" s="544">
        <f>J11+J21+J27</f>
        <v>564799338.25999999</v>
      </c>
      <c r="K41" s="544">
        <f>K11+K21+K27</f>
        <v>13374618.280000066</v>
      </c>
      <c r="L41" s="545">
        <f t="shared" si="54"/>
        <v>0.10162995899427447</v>
      </c>
      <c r="M41" s="545">
        <f t="shared" si="55"/>
        <v>0.7671384130089689</v>
      </c>
      <c r="N41" s="544">
        <f>N11+N21+N27</f>
        <v>21734473.607021905</v>
      </c>
      <c r="O41" s="544">
        <f>O11+O21+O27</f>
        <v>568040553.14999998</v>
      </c>
      <c r="P41" s="544">
        <f>P11+P21+P27</f>
        <v>16615833.170000058</v>
      </c>
      <c r="Q41" s="545">
        <f t="shared" si="57"/>
        <v>0.12625903845405323</v>
      </c>
      <c r="R41" s="545">
        <f t="shared" si="58"/>
        <v>0.76449209078759872</v>
      </c>
      <c r="S41" s="547">
        <f>S11+S21+S27</f>
        <v>35266503.077021904</v>
      </c>
      <c r="T41" s="544">
        <f>T11+T21+T27</f>
        <v>578310474.06000006</v>
      </c>
      <c r="U41" s="547">
        <f>U11+U21+U27</f>
        <v>26885754.080000121</v>
      </c>
      <c r="V41" s="545">
        <f t="shared" si="60"/>
        <v>0.20429727618966831</v>
      </c>
      <c r="W41" s="545">
        <f t="shared" si="61"/>
        <v>0.76235951212065856</v>
      </c>
      <c r="X41" s="547">
        <f>X11+X21+X27</f>
        <v>43978736.927021898</v>
      </c>
      <c r="Y41" s="544">
        <f>Y11+Y21+Y27</f>
        <v>593019468.23000002</v>
      </c>
      <c r="Z41" s="547">
        <f>Z11+Z21+Z27</f>
        <v>41594748.250000142</v>
      </c>
      <c r="AA41" s="545">
        <f t="shared" si="63"/>
        <v>0.31606678190928256</v>
      </c>
      <c r="AB41" s="588">
        <f t="shared" si="64"/>
        <v>0.94579224317019983</v>
      </c>
      <c r="AC41" s="589">
        <f>AC11+AC21+AC27</f>
        <v>59988727.198285274</v>
      </c>
      <c r="AD41" s="544">
        <f>AD11+AD21+AD27</f>
        <v>597183953.3499999</v>
      </c>
      <c r="AE41" s="544">
        <f>AE11+AE21+AE27</f>
        <v>45759233.37000002</v>
      </c>
      <c r="AF41" s="545">
        <f t="shared" si="66"/>
        <v>0.34771153192138171</v>
      </c>
      <c r="AG41" s="590">
        <f t="shared" si="70"/>
        <v>0.76279720386046146</v>
      </c>
      <c r="AH41" s="589">
        <f>AH11+AH21+AH27</f>
        <v>72397303.758285284</v>
      </c>
      <c r="AI41" s="544">
        <f>AI11+AI21+AI27</f>
        <v>607278753.77999997</v>
      </c>
      <c r="AJ41" s="544">
        <f>AJ11+AJ21+AJ27</f>
        <v>55854033.800000109</v>
      </c>
      <c r="AK41" s="545">
        <f t="shared" si="71"/>
        <v>0.424419078430611</v>
      </c>
      <c r="AL41" s="546">
        <f t="shared" si="72"/>
        <v>0.77149328635885928</v>
      </c>
      <c r="AM41" s="589">
        <f t="shared" si="68"/>
        <v>-16543269.958285175</v>
      </c>
      <c r="AN41" s="548">
        <f>AN11+AN21+AN27</f>
        <v>77149260.658285275</v>
      </c>
      <c r="AO41" s="544">
        <f>AO11+AO21+AO27</f>
        <v>617079459.46000004</v>
      </c>
      <c r="AP41" s="544">
        <f>AP11+AP21+AP27</f>
        <v>65654739.480000034</v>
      </c>
      <c r="AQ41" s="545">
        <f t="shared" si="74"/>
        <v>0.498891881730186</v>
      </c>
      <c r="AR41" s="546">
        <f t="shared" si="73"/>
        <v>0.85100931518712086</v>
      </c>
      <c r="AS41" s="546"/>
      <c r="AT41" s="544">
        <f>AT11+AT21+AT27</f>
        <v>98187514.204973638</v>
      </c>
      <c r="AU41" s="544"/>
      <c r="AV41" s="544"/>
      <c r="AW41" s="545"/>
      <c r="AX41" s="554"/>
      <c r="AY41" s="544">
        <f>AY11+AY21+AY27</f>
        <v>118732296.93497366</v>
      </c>
      <c r="AZ41" s="544"/>
      <c r="BA41" s="544"/>
      <c r="BB41" s="545"/>
      <c r="BC41" s="554"/>
      <c r="BD41" s="544"/>
      <c r="BE41" s="544"/>
      <c r="BF41" s="545"/>
    </row>
    <row r="42" spans="1:58" s="568" customFormat="1" thickBot="1">
      <c r="A42" s="594" t="s">
        <v>858</v>
      </c>
      <c r="B42" s="595">
        <f>SUM(B33:B41)</f>
        <v>493606219.01186025</v>
      </c>
      <c r="C42" s="558">
        <f>SUM(C33:C41)</f>
        <v>1764259377.1141362</v>
      </c>
      <c r="D42" s="559">
        <f>SUM(D33:D41)</f>
        <v>53249404.487499997</v>
      </c>
      <c r="E42" s="559">
        <f>SUM(E33:E41)</f>
        <v>1846959949.8500001</v>
      </c>
      <c r="F42" s="559">
        <f>SUM(F33:F41)</f>
        <v>82700572.735864013</v>
      </c>
      <c r="G42" s="560">
        <f t="shared" si="51"/>
        <v>0.1675436198948638</v>
      </c>
      <c r="H42" s="560">
        <f t="shared" si="52"/>
        <v>1.5530797674043006</v>
      </c>
      <c r="I42" s="559">
        <f>SUM(I33:I41)</f>
        <v>87051936.11650002</v>
      </c>
      <c r="J42" s="559">
        <f>SUM(J33:J41)</f>
        <v>1857310548.3900001</v>
      </c>
      <c r="K42" s="559">
        <f>SUM(K33:K41)</f>
        <v>93051171.27586402</v>
      </c>
      <c r="L42" s="560">
        <f t="shared" si="54"/>
        <v>0.18851296375913004</v>
      </c>
      <c r="M42" s="560">
        <f t="shared" si="55"/>
        <v>1.0689155856491845</v>
      </c>
      <c r="N42" s="559">
        <f>SUM(N33:N41)</f>
        <v>117396325.24902189</v>
      </c>
      <c r="O42" s="559">
        <f>SUM(O33:O41)</f>
        <v>1925857788.9200001</v>
      </c>
      <c r="P42" s="559">
        <f>SUM(P33:P41)</f>
        <v>161598411.80586404</v>
      </c>
      <c r="Q42" s="560">
        <f t="shared" si="57"/>
        <v>0.32738325730450568</v>
      </c>
      <c r="R42" s="560">
        <f t="shared" si="58"/>
        <v>1.376520188882236</v>
      </c>
      <c r="S42" s="559">
        <f>SUM(S33:S41)</f>
        <v>161757426.2135219</v>
      </c>
      <c r="T42" s="559">
        <f>SUM(T33:T41)</f>
        <v>1962383459.3400002</v>
      </c>
      <c r="U42" s="559">
        <f>SUM(U33:U41)</f>
        <v>198124082.2258642</v>
      </c>
      <c r="V42" s="560">
        <f>U42/B42</f>
        <v>0.40138084690765152</v>
      </c>
      <c r="W42" s="560">
        <f t="shared" si="61"/>
        <v>1.2248221727040702</v>
      </c>
      <c r="X42" s="559">
        <f>SUM(X33:X41)</f>
        <v>199036797.86302188</v>
      </c>
      <c r="Y42" s="559">
        <f>SUM(Y33:Y41)</f>
        <v>1992949380.432816</v>
      </c>
      <c r="Z42" s="559">
        <f>SUM(Z33:Z41)</f>
        <v>228690003.3186802</v>
      </c>
      <c r="AA42" s="560">
        <f t="shared" si="63"/>
        <v>0.46330454218443567</v>
      </c>
      <c r="AB42" s="596">
        <f t="shared" si="64"/>
        <v>1.1489835335678269</v>
      </c>
      <c r="AC42" s="597">
        <f>SUM(AC33:AC41)</f>
        <v>244824054.23478526</v>
      </c>
      <c r="AD42" s="559">
        <f>SUM(AD33:AD41)</f>
        <v>1995993022.9641361</v>
      </c>
      <c r="AE42" s="559">
        <f>SUM(AE33:AE41)</f>
        <v>231733645.85000008</v>
      </c>
      <c r="AF42" s="560">
        <f t="shared" si="66"/>
        <v>0.46947067707919626</v>
      </c>
      <c r="AG42" s="561">
        <f t="shared" si="70"/>
        <v>0.9465313634083049</v>
      </c>
      <c r="AH42" s="597">
        <f>SUM(AH33:AH41)</f>
        <v>288910912.19528526</v>
      </c>
      <c r="AI42" s="559">
        <f t="shared" ref="AI42:AJ42" si="75">SUM(AI33:AI41)</f>
        <v>2025907717.4841359</v>
      </c>
      <c r="AJ42" s="559">
        <f t="shared" si="75"/>
        <v>261648340.37000003</v>
      </c>
      <c r="AK42" s="560">
        <f t="shared" si="71"/>
        <v>0.53007504827185581</v>
      </c>
      <c r="AL42" s="561">
        <f t="shared" si="72"/>
        <v>0.90563675280337808</v>
      </c>
      <c r="AM42" s="597">
        <f t="shared" si="68"/>
        <v>-27262571.825285226</v>
      </c>
      <c r="AN42" s="558">
        <f>SUM(AN33:AN41)</f>
        <v>321755094.23578531</v>
      </c>
      <c r="AO42" s="559">
        <f t="shared" ref="AO42:AP42" si="76">SUM(AO33:AO41)</f>
        <v>2072697897.564136</v>
      </c>
      <c r="AP42" s="559">
        <f t="shared" si="76"/>
        <v>308438520.45000005</v>
      </c>
      <c r="AQ42" s="557">
        <f t="shared" si="74"/>
        <v>0.62486757372598856</v>
      </c>
      <c r="AR42" s="561">
        <f t="shared" si="73"/>
        <v>0.95861270256679532</v>
      </c>
      <c r="AS42" s="596"/>
      <c r="AT42" s="559">
        <f>SUM(AT33:AT41)</f>
        <v>381621720.8044737</v>
      </c>
      <c r="AU42" s="559"/>
      <c r="AV42" s="559"/>
      <c r="AW42" s="560"/>
      <c r="AX42" s="561"/>
      <c r="AY42" s="559">
        <f>SUM(AY33:AY41)</f>
        <v>446537430.53597367</v>
      </c>
      <c r="AZ42" s="559"/>
      <c r="BA42" s="559"/>
      <c r="BB42" s="560"/>
      <c r="BC42" s="561"/>
      <c r="BD42" s="559"/>
      <c r="BE42" s="559"/>
      <c r="BF42" s="560"/>
    </row>
    <row r="43" spans="1:58" s="568" customFormat="1" ht="15">
      <c r="A43" s="598"/>
      <c r="B43" s="599"/>
      <c r="C43" s="599"/>
      <c r="D43" s="599"/>
      <c r="E43" s="599"/>
      <c r="F43" s="599"/>
      <c r="G43" s="600"/>
      <c r="I43" s="599"/>
      <c r="J43" s="599"/>
      <c r="K43" s="599"/>
      <c r="L43" s="600"/>
      <c r="N43" s="495"/>
      <c r="S43" s="601"/>
      <c r="U43" s="601"/>
      <c r="X43" s="601"/>
      <c r="Z43" s="601"/>
    </row>
    <row r="44" spans="1:58" ht="15">
      <c r="A44" s="602"/>
      <c r="B44" s="602"/>
      <c r="C44" s="602"/>
      <c r="D44" s="602"/>
      <c r="E44" s="602"/>
      <c r="F44" s="602"/>
      <c r="G44" s="602"/>
      <c r="I44" s="602"/>
      <c r="J44" s="602"/>
      <c r="K44" s="602"/>
      <c r="L44" s="602"/>
    </row>
    <row r="45" spans="1:58" ht="15.75" customHeight="1">
      <c r="A45" s="602"/>
      <c r="B45" s="602"/>
      <c r="C45" s="602"/>
      <c r="D45" s="602"/>
      <c r="E45" s="602"/>
      <c r="F45" s="602"/>
      <c r="G45" s="602"/>
      <c r="I45" s="602"/>
      <c r="J45" s="602"/>
      <c r="K45" s="602"/>
      <c r="L45" s="602"/>
    </row>
    <row r="46" spans="1:58" ht="15.75" customHeight="1">
      <c r="A46" s="602"/>
      <c r="B46" s="602"/>
      <c r="C46" s="602"/>
      <c r="D46" s="602"/>
      <c r="E46" s="602"/>
      <c r="F46" s="602"/>
      <c r="G46" s="602"/>
      <c r="I46" s="602"/>
      <c r="J46" s="602"/>
      <c r="K46" s="602"/>
      <c r="L46" s="602"/>
    </row>
    <row r="47" spans="1:58" ht="15.75" customHeight="1">
      <c r="A47" s="603"/>
      <c r="B47" s="604"/>
      <c r="C47" s="604"/>
      <c r="D47" s="604"/>
      <c r="E47" s="604"/>
      <c r="F47" s="604"/>
      <c r="G47" s="605"/>
      <c r="I47" s="604"/>
      <c r="J47" s="604"/>
      <c r="K47" s="604"/>
      <c r="L47" s="605"/>
    </row>
    <row r="48" spans="1:58" ht="15.75" customHeight="1">
      <c r="A48" s="603"/>
      <c r="B48" s="604"/>
      <c r="C48" s="604"/>
      <c r="D48" s="604"/>
      <c r="E48" s="604"/>
      <c r="F48" s="604"/>
      <c r="G48" s="605"/>
      <c r="I48" s="604"/>
      <c r="J48" s="604"/>
      <c r="K48" s="604"/>
      <c r="L48" s="605"/>
    </row>
    <row r="49" spans="1:26" ht="15">
      <c r="A49" s="603"/>
      <c r="B49" s="604"/>
      <c r="C49" s="604"/>
      <c r="D49" s="604"/>
      <c r="E49" s="604"/>
      <c r="F49" s="604"/>
      <c r="G49" s="605"/>
      <c r="I49" s="604"/>
      <c r="J49" s="604"/>
      <c r="K49" s="604"/>
      <c r="L49" s="605"/>
      <c r="S49" s="495"/>
      <c r="U49" s="495"/>
      <c r="X49" s="495"/>
      <c r="Z49" s="495"/>
    </row>
    <row r="50" spans="1:26" ht="15">
      <c r="A50" s="603"/>
      <c r="B50" s="606"/>
      <c r="C50" s="606"/>
      <c r="D50" s="606"/>
      <c r="E50" s="607"/>
      <c r="F50" s="607"/>
      <c r="G50" s="608"/>
      <c r="I50" s="606"/>
      <c r="J50" s="607"/>
      <c r="K50" s="607"/>
      <c r="L50" s="608"/>
      <c r="S50" s="495"/>
      <c r="U50" s="495"/>
      <c r="X50" s="495"/>
      <c r="Z50" s="495"/>
    </row>
    <row r="51" spans="1:26" ht="15">
      <c r="A51" s="603"/>
      <c r="B51" s="606"/>
      <c r="C51" s="606"/>
      <c r="D51" s="606"/>
      <c r="E51" s="607"/>
      <c r="F51" s="607"/>
      <c r="G51" s="608"/>
      <c r="I51" s="606"/>
      <c r="J51" s="607"/>
      <c r="K51" s="607"/>
      <c r="L51" s="608"/>
      <c r="S51" s="495"/>
      <c r="U51" s="495"/>
      <c r="X51" s="495"/>
      <c r="Z51" s="495"/>
    </row>
    <row r="52" spans="1:26" ht="15">
      <c r="A52" s="603"/>
      <c r="B52" s="606"/>
      <c r="C52" s="606"/>
      <c r="D52" s="606"/>
      <c r="E52" s="607"/>
      <c r="F52" s="607"/>
      <c r="G52" s="608"/>
      <c r="I52" s="606"/>
      <c r="J52" s="607"/>
      <c r="K52" s="607"/>
      <c r="L52" s="608"/>
      <c r="S52" s="495"/>
      <c r="U52" s="495"/>
      <c r="X52" s="495"/>
      <c r="Z52" s="495"/>
    </row>
    <row r="53" spans="1:26">
      <c r="A53" s="603"/>
      <c r="S53" s="495"/>
      <c r="U53" s="495"/>
      <c r="X53" s="495"/>
      <c r="Z53" s="495"/>
    </row>
    <row r="54" spans="1:26">
      <c r="B54" s="612"/>
      <c r="C54" s="612"/>
      <c r="D54" s="612"/>
      <c r="E54" s="612"/>
      <c r="F54" s="612"/>
      <c r="G54" s="613"/>
      <c r="I54" s="612"/>
      <c r="J54" s="612"/>
      <c r="K54" s="612"/>
      <c r="L54" s="613"/>
      <c r="S54" s="495"/>
      <c r="U54" s="495"/>
      <c r="X54" s="495"/>
      <c r="Z54" s="495"/>
    </row>
    <row r="55" spans="1:26" ht="20.25">
      <c r="B55" s="614"/>
      <c r="C55" s="615"/>
      <c r="D55" s="615"/>
      <c r="E55" s="616"/>
      <c r="F55" s="616"/>
      <c r="G55" s="617"/>
      <c r="I55" s="615"/>
      <c r="J55" s="616"/>
      <c r="K55" s="616"/>
      <c r="L55" s="617"/>
      <c r="S55" s="495"/>
      <c r="U55" s="495"/>
      <c r="X55" s="495"/>
      <c r="Z55" s="495"/>
    </row>
    <row r="56" spans="1:26" ht="20.25">
      <c r="B56" s="618"/>
      <c r="C56" s="618"/>
      <c r="D56" s="618"/>
      <c r="E56" s="619"/>
      <c r="F56" s="619"/>
      <c r="G56" s="620"/>
      <c r="I56" s="618"/>
      <c r="J56" s="619"/>
      <c r="K56" s="619"/>
      <c r="L56" s="620"/>
      <c r="S56" s="495"/>
      <c r="U56" s="495"/>
      <c r="X56" s="495"/>
      <c r="Z56" s="495"/>
    </row>
    <row r="57" spans="1:26" ht="20.25">
      <c r="A57" s="621"/>
      <c r="B57" s="622"/>
      <c r="C57" s="622"/>
      <c r="D57" s="622"/>
      <c r="E57" s="622"/>
      <c r="F57" s="622"/>
      <c r="G57" s="623"/>
      <c r="I57" s="622"/>
      <c r="J57" s="622"/>
      <c r="K57" s="622"/>
      <c r="L57" s="623"/>
      <c r="S57" s="495"/>
      <c r="U57" s="495"/>
      <c r="X57" s="495"/>
      <c r="Z57" s="495"/>
    </row>
    <row r="58" spans="1:26">
      <c r="A58" s="624"/>
      <c r="S58" s="495"/>
      <c r="U58" s="495"/>
      <c r="X58" s="495"/>
      <c r="Z58" s="495"/>
    </row>
    <row r="59" spans="1:26">
      <c r="A59" s="625"/>
      <c r="B59" s="612"/>
      <c r="C59" s="612"/>
      <c r="D59" s="612"/>
      <c r="E59" s="612"/>
      <c r="F59" s="612"/>
      <c r="G59" s="613"/>
      <c r="I59" s="612"/>
      <c r="J59" s="612"/>
      <c r="K59" s="612"/>
      <c r="L59" s="613"/>
      <c r="S59" s="495"/>
      <c r="U59" s="495"/>
      <c r="X59" s="495"/>
      <c r="Z59" s="495"/>
    </row>
  </sheetData>
  <sortState ref="A1:A7">
    <sortCondition ref="A1"/>
  </sortState>
  <mergeCells count="23">
    <mergeCell ref="AY4:BC4"/>
    <mergeCell ref="BD4:BF4"/>
    <mergeCell ref="A1:W1"/>
    <mergeCell ref="D4:H4"/>
    <mergeCell ref="I4:M4"/>
    <mergeCell ref="N4:R4"/>
    <mergeCell ref="S4:W4"/>
    <mergeCell ref="X4:AB4"/>
    <mergeCell ref="AC4:AG4"/>
    <mergeCell ref="AH4:AM4"/>
    <mergeCell ref="AN4:AR4"/>
    <mergeCell ref="AT4:AX4"/>
    <mergeCell ref="AH32:AL32"/>
    <mergeCell ref="AN32:AR32"/>
    <mergeCell ref="AT32:AX32"/>
    <mergeCell ref="AY32:BC32"/>
    <mergeCell ref="BD32:BF32"/>
    <mergeCell ref="AC32:AG32"/>
    <mergeCell ref="D32:H32"/>
    <mergeCell ref="I32:M32"/>
    <mergeCell ref="N32:R32"/>
    <mergeCell ref="S32:W32"/>
    <mergeCell ref="X32:AB32"/>
  </mergeCells>
  <pageMargins left="0.7" right="0.7" top="0.75" bottom="0.75" header="0.3" footer="0.3"/>
  <pageSetup paperSize="9" scale="45" orientation="portrait" r:id="rId1"/>
  <colBreaks count="1" manualBreakCount="1">
    <brk id="46" max="1048575" man="1"/>
  </colBreaks>
  <extLst>
    <ext xmlns:x14="http://schemas.microsoft.com/office/spreadsheetml/2009/9/main" uri="{78C0D931-6437-407d-A8EE-F0AAD7539E65}">
      <x14:conditionalFormattings>
        <x14:conditionalFormatting xmlns:xm="http://schemas.microsoft.com/office/excel/2006/main">
          <x14:cfRule type="iconSet" priority="6" id="{B2C1BDC8-E5C5-4155-A1FB-A2FF98ECFE9E}">
            <x14:iconSet iconSet="3Symbols" custom="1">
              <x14:cfvo type="percent">
                <xm:f>0</xm:f>
              </x14:cfvo>
              <x14:cfvo type="num" gte="0">
                <xm:f>0</xm:f>
              </x14:cfvo>
              <x14:cfvo type="num">
                <xm:f>0.9</xm:f>
              </x14:cfvo>
              <x14:cfIcon iconSet="NoIcons" iconId="0"/>
              <x14:cfIcon iconSet="3Arrows" iconId="0"/>
              <x14:cfIcon iconSet="NoIcons" iconId="0"/>
            </x14:iconSet>
          </x14:cfRule>
          <xm:sqref>AL6:AL28</xm:sqref>
        </x14:conditionalFormatting>
        <x14:conditionalFormatting xmlns:xm="http://schemas.microsoft.com/office/excel/2006/main">
          <x14:cfRule type="iconSet" priority="5" id="{70A09F48-F5DD-4919-A18C-8F4B338D8BD5}">
            <x14:iconSet iconSet="3Symbols" custom="1">
              <x14:cfvo type="percent">
                <xm:f>0</xm:f>
              </x14:cfvo>
              <x14:cfvo type="num" gte="0">
                <xm:f>0</xm:f>
              </x14:cfvo>
              <x14:cfvo type="num">
                <xm:f>0.9</xm:f>
              </x14:cfvo>
              <x14:cfIcon iconSet="NoIcons" iconId="0"/>
              <x14:cfIcon iconSet="3Arrows" iconId="0"/>
              <x14:cfIcon iconSet="NoIcons" iconId="0"/>
            </x14:iconSet>
          </x14:cfRule>
          <xm:sqref>AR28:AS28 AR6:AR27</xm:sqref>
        </x14:conditionalFormatting>
        <x14:conditionalFormatting xmlns:xm="http://schemas.microsoft.com/office/excel/2006/main">
          <x14:cfRule type="iconSet" priority="4" id="{CCCA61DD-2877-4A5E-8EB4-1423313326D9}">
            <x14:iconSet iconSet="3Symbols" custom="1">
              <x14:cfvo type="percent">
                <xm:f>0</xm:f>
              </x14:cfvo>
              <x14:cfvo type="num" gte="0">
                <xm:f>0.9</xm:f>
              </x14:cfvo>
              <x14:cfvo type="num">
                <xm:f>0.9</xm:f>
              </x14:cfvo>
              <x14:cfIcon iconSet="NoIcons" iconId="0"/>
              <x14:cfIcon iconSet="3Arrows" iconId="0"/>
              <x14:cfIcon iconSet="NoIcons" iconId="0"/>
            </x14:iconSet>
          </x14:cfRule>
          <xm:sqref>AR42:AS42 AL42</xm:sqref>
        </x14:conditionalFormatting>
        <x14:conditionalFormatting xmlns:xm="http://schemas.microsoft.com/office/excel/2006/main">
          <x14:cfRule type="iconSet" priority="3" id="{84451AE8-FF87-486B-9AA7-D77A73DC33A0}">
            <x14:iconSet iconSet="3Symbols" custom="1">
              <x14:cfvo type="percent">
                <xm:f>0</xm:f>
              </x14:cfvo>
              <x14:cfvo type="num" gte="0">
                <xm:f>0</xm:f>
              </x14:cfvo>
              <x14:cfvo type="num">
                <xm:f>0.9</xm:f>
              </x14:cfvo>
              <x14:cfIcon iconSet="NoIcons" iconId="0"/>
              <x14:cfIcon iconSet="3Arrows" iconId="0"/>
              <x14:cfIcon iconSet="NoIcons" iconId="0"/>
            </x14:iconSet>
          </x14:cfRule>
          <xm:sqref>AL33</xm:sqref>
        </x14:conditionalFormatting>
        <x14:conditionalFormatting xmlns:xm="http://schemas.microsoft.com/office/excel/2006/main">
          <x14:cfRule type="iconSet" priority="2" id="{56F4076B-81E3-49DB-A3D4-7B03E766BAC5}">
            <x14:iconSet iconSet="3Symbols" custom="1">
              <x14:cfvo type="percent">
                <xm:f>0</xm:f>
              </x14:cfvo>
              <x14:cfvo type="num" gte="0">
                <xm:f>0</xm:f>
              </x14:cfvo>
              <x14:cfvo type="num">
                <xm:f>0.9</xm:f>
              </x14:cfvo>
              <x14:cfIcon iconSet="NoIcons" iconId="0"/>
              <x14:cfIcon iconSet="3Arrows" iconId="0"/>
              <x14:cfIcon iconSet="NoIcons" iconId="0"/>
            </x14:iconSet>
          </x14:cfRule>
          <xm:sqref>AL34:AL41</xm:sqref>
        </x14:conditionalFormatting>
        <x14:conditionalFormatting xmlns:xm="http://schemas.microsoft.com/office/excel/2006/main">
          <x14:cfRule type="iconSet" priority="1" id="{5CADF7A3-5BC2-419C-B166-BA83299DCE34}">
            <x14:iconSet iconSet="3Symbols" custom="1">
              <x14:cfvo type="percent">
                <xm:f>0</xm:f>
              </x14:cfvo>
              <x14:cfvo type="num" gte="0">
                <xm:f>0</xm:f>
              </x14:cfvo>
              <x14:cfvo type="num">
                <xm:f>0.9</xm:f>
              </x14:cfvo>
              <x14:cfIcon iconSet="NoIcons" iconId="0"/>
              <x14:cfIcon iconSet="3Arrows" iconId="0"/>
              <x14:cfIcon iconSet="NoIcons" iconId="0"/>
            </x14:iconSet>
          </x14:cfRule>
          <xm:sqref>AR33:AS41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H31"/>
  <sheetViews>
    <sheetView topLeftCell="G1" zoomScale="80" zoomScaleNormal="80" workbookViewId="0">
      <selection activeCell="AG19" sqref="AG19"/>
    </sheetView>
  </sheetViews>
  <sheetFormatPr defaultRowHeight="15"/>
  <cols>
    <col min="2" max="2" width="12.5703125" customWidth="1"/>
    <col min="3" max="3" width="17.5703125" customWidth="1"/>
    <col min="4" max="4" width="13.85546875" customWidth="1"/>
    <col min="5" max="5" width="16.5703125" customWidth="1"/>
    <col min="6" max="6" width="12.42578125" customWidth="1"/>
    <col min="7" max="7" width="14.42578125" customWidth="1"/>
  </cols>
  <sheetData>
    <row r="1" spans="1:7" ht="114.75">
      <c r="A1" s="665"/>
      <c r="B1" s="668" t="s">
        <v>908</v>
      </c>
      <c r="C1" s="668" t="s">
        <v>906</v>
      </c>
      <c r="D1" s="668" t="s">
        <v>911</v>
      </c>
      <c r="E1" s="668" t="s">
        <v>909</v>
      </c>
      <c r="F1" s="668" t="s">
        <v>907</v>
      </c>
      <c r="G1" s="668" t="s">
        <v>910</v>
      </c>
    </row>
    <row r="2" spans="1:7">
      <c r="A2" s="665"/>
      <c r="B2" s="668">
        <v>1</v>
      </c>
      <c r="C2" s="668">
        <v>2</v>
      </c>
      <c r="D2" s="668">
        <v>3</v>
      </c>
      <c r="E2" s="668">
        <v>4</v>
      </c>
      <c r="F2" s="668" t="s">
        <v>898</v>
      </c>
      <c r="G2" s="668">
        <v>6</v>
      </c>
    </row>
    <row r="3" spans="1:7">
      <c r="A3" s="827" t="s">
        <v>687</v>
      </c>
      <c r="B3" s="667">
        <f>ABS(cet.plāni!E55)</f>
        <v>82719293</v>
      </c>
      <c r="C3" s="495"/>
      <c r="D3" s="667">
        <f>ABS(cet.plāni!M55)</f>
        <v>500000</v>
      </c>
      <c r="E3" s="667">
        <f>ABS(cet.plāni!F55)</f>
        <v>20149793.224285275</v>
      </c>
      <c r="F3" s="667">
        <f>ABS(cet.plāni!N55)</f>
        <v>20649793.224285275</v>
      </c>
      <c r="G3" s="667"/>
    </row>
    <row r="4" spans="1:7">
      <c r="A4" s="828"/>
      <c r="B4" s="667"/>
      <c r="C4" s="667">
        <f>ABS(cet.plāni!I55)</f>
        <v>43658061</v>
      </c>
      <c r="D4" s="667"/>
      <c r="E4" s="667"/>
      <c r="F4" s="667"/>
      <c r="G4" s="667"/>
    </row>
    <row r="5" spans="1:7">
      <c r="A5" s="828"/>
      <c r="B5" s="667"/>
      <c r="C5" s="667"/>
      <c r="D5" s="667"/>
      <c r="E5" s="667"/>
      <c r="F5" s="667"/>
      <c r="G5" s="667">
        <v>14785949.785991568</v>
      </c>
    </row>
    <row r="6" spans="1:7" s="495" customFormat="1" ht="4.5" customHeight="1">
      <c r="A6" s="824"/>
      <c r="B6" s="825"/>
      <c r="C6" s="825"/>
      <c r="D6" s="825"/>
      <c r="E6" s="825"/>
      <c r="F6" s="825"/>
      <c r="G6" s="826"/>
    </row>
    <row r="7" spans="1:7">
      <c r="A7" s="827" t="s">
        <v>155</v>
      </c>
      <c r="B7" s="667">
        <f>ABS(cet.plāni!E24)</f>
        <v>56835208</v>
      </c>
      <c r="C7" s="535"/>
      <c r="D7" s="667">
        <f>ABS(cet.plāni!M24)</f>
        <v>6000000</v>
      </c>
      <c r="E7" s="667">
        <f>ABS(cet.plāni!F24)</f>
        <v>6781859.3200000003</v>
      </c>
      <c r="F7" s="667">
        <f>ABS(cet.plāni!N24)</f>
        <v>12781859.32</v>
      </c>
      <c r="G7" s="535"/>
    </row>
    <row r="8" spans="1:7">
      <c r="A8" s="828"/>
      <c r="B8" s="667"/>
      <c r="C8" s="667">
        <f>ABS(cet.plāni!I24)</f>
        <v>8776480</v>
      </c>
      <c r="D8" s="667"/>
      <c r="E8" s="667"/>
      <c r="F8" s="667"/>
      <c r="G8" s="667"/>
    </row>
    <row r="9" spans="1:7">
      <c r="A9" s="829"/>
      <c r="B9" s="667"/>
      <c r="C9" s="667"/>
      <c r="D9" s="667"/>
      <c r="E9" s="667"/>
      <c r="F9" s="667"/>
      <c r="G9" s="667">
        <v>32269727.408574041</v>
      </c>
    </row>
    <row r="10" spans="1:7" s="495" customFormat="1" ht="4.5" customHeight="1">
      <c r="A10" s="824"/>
      <c r="B10" s="825"/>
      <c r="C10" s="825"/>
      <c r="D10" s="825"/>
      <c r="E10" s="825"/>
      <c r="F10" s="825"/>
      <c r="G10" s="826"/>
    </row>
    <row r="11" spans="1:7">
      <c r="A11" s="827" t="s">
        <v>168</v>
      </c>
      <c r="B11" s="667">
        <f>ABS(cet.plāni!E47)</f>
        <v>52382961</v>
      </c>
      <c r="C11" s="535"/>
      <c r="D11" s="667">
        <f>ABS(cet.plāni!M47)</f>
        <v>6733191</v>
      </c>
      <c r="E11" s="667">
        <f>ABS(cet.plāni!F47)</f>
        <v>0</v>
      </c>
      <c r="F11" s="667">
        <f>ABS(cet.plāni!N47)</f>
        <v>6733191</v>
      </c>
      <c r="G11" s="535"/>
    </row>
    <row r="12" spans="1:7">
      <c r="A12" s="828"/>
      <c r="B12" s="667"/>
      <c r="C12" s="667">
        <f>ABS(cet.plāni!I47)</f>
        <v>50289770</v>
      </c>
      <c r="D12" s="667"/>
      <c r="E12" s="667"/>
      <c r="F12" s="667"/>
      <c r="G12" s="667"/>
    </row>
    <row r="13" spans="1:7">
      <c r="A13" s="829"/>
      <c r="B13" s="667"/>
      <c r="C13" s="667"/>
      <c r="D13" s="667"/>
      <c r="E13" s="667"/>
      <c r="F13" s="667"/>
      <c r="G13" s="667">
        <v>268448.37000000011</v>
      </c>
    </row>
    <row r="14" spans="1:7" s="495" customFormat="1" ht="4.5" customHeight="1">
      <c r="A14" s="824"/>
      <c r="B14" s="825"/>
      <c r="C14" s="825"/>
      <c r="D14" s="825"/>
      <c r="E14" s="825"/>
      <c r="F14" s="825"/>
      <c r="G14" s="826"/>
    </row>
    <row r="15" spans="1:7">
      <c r="A15" s="827" t="s">
        <v>5</v>
      </c>
      <c r="B15" s="667">
        <f>ABS(cet.plāni!E30)</f>
        <v>36037209.557135999</v>
      </c>
      <c r="C15" s="535"/>
      <c r="D15" s="667">
        <f>ABS(cet.plāni!M30)</f>
        <v>3197606</v>
      </c>
      <c r="E15" s="667">
        <f>ABS(cet.plāni!F30)</f>
        <v>0</v>
      </c>
      <c r="F15" s="667">
        <f>ABS(cet.plāni!N30)</f>
        <v>3197606</v>
      </c>
      <c r="G15" s="535"/>
    </row>
    <row r="16" spans="1:7">
      <c r="A16" s="828"/>
      <c r="B16" s="667"/>
      <c r="C16" s="667">
        <f>ABS(cet.plāni!I30)</f>
        <v>1775040</v>
      </c>
      <c r="D16" s="667"/>
      <c r="E16" s="667"/>
      <c r="F16" s="667"/>
      <c r="G16" s="667"/>
    </row>
    <row r="17" spans="1:8">
      <c r="A17" s="829"/>
      <c r="B17" s="667"/>
      <c r="C17" s="667"/>
      <c r="D17" s="667"/>
      <c r="E17" s="667"/>
      <c r="F17" s="667"/>
      <c r="G17" s="667">
        <v>2493962.5767379175</v>
      </c>
    </row>
    <row r="18" spans="1:8" s="495" customFormat="1" ht="4.5" customHeight="1">
      <c r="A18" s="824"/>
      <c r="B18" s="825"/>
      <c r="C18" s="825"/>
      <c r="D18" s="825"/>
      <c r="E18" s="825"/>
      <c r="F18" s="825"/>
      <c r="G18" s="826"/>
    </row>
    <row r="19" spans="1:8">
      <c r="A19" s="827" t="s">
        <v>156</v>
      </c>
      <c r="B19" s="667">
        <f>ABS(cet.plāni!E40)</f>
        <v>32591616.413770001</v>
      </c>
      <c r="C19" s="535"/>
      <c r="D19" s="667">
        <f>ABS(cet.plāni!M40)</f>
        <v>0</v>
      </c>
      <c r="E19" s="667">
        <f>ABS(cet.plāni!F40)</f>
        <v>0</v>
      </c>
      <c r="F19" s="667">
        <f>ABS(cet.plāni!N40)</f>
        <v>0</v>
      </c>
      <c r="G19" s="535"/>
    </row>
    <row r="20" spans="1:8">
      <c r="A20" s="828"/>
      <c r="B20" s="667"/>
      <c r="C20" s="667">
        <f>ABS(cet.plāni!I40)</f>
        <v>26574638.74377</v>
      </c>
      <c r="D20" s="667"/>
      <c r="E20" s="667"/>
      <c r="F20" s="667"/>
      <c r="G20" s="667"/>
    </row>
    <row r="21" spans="1:8">
      <c r="A21" s="829"/>
      <c r="B21" s="667"/>
      <c r="C21" s="667"/>
      <c r="D21" s="667"/>
      <c r="E21" s="667"/>
      <c r="F21" s="667"/>
      <c r="G21" s="667">
        <v>428621.95277560357</v>
      </c>
    </row>
    <row r="22" spans="1:8" s="495" customFormat="1" ht="5.25" customHeight="1">
      <c r="A22" s="830"/>
      <c r="B22" s="831"/>
      <c r="C22" s="831"/>
      <c r="D22" s="831"/>
      <c r="E22" s="831"/>
      <c r="F22" s="831"/>
      <c r="G22" s="831"/>
      <c r="H22" s="831"/>
    </row>
    <row r="23" spans="1:8">
      <c r="A23" s="827" t="s">
        <v>170</v>
      </c>
      <c r="B23" s="667">
        <f>ABS(cet.plāni!E37)</f>
        <v>12000000</v>
      </c>
      <c r="C23" s="535"/>
      <c r="D23" s="667">
        <f>ABS(cet.plāni!M37)</f>
        <v>0</v>
      </c>
      <c r="E23" s="667">
        <f>ABS(cet.plāni!F37)</f>
        <v>1311046.7200000007</v>
      </c>
      <c r="F23" s="667">
        <f>ABS(cet.plāni!N37)</f>
        <v>1311046.7200000007</v>
      </c>
      <c r="G23" s="535"/>
    </row>
    <row r="24" spans="1:8">
      <c r="A24" s="828"/>
      <c r="B24" s="667"/>
      <c r="C24" s="667">
        <f>ABS(cet.plāni!I37)</f>
        <v>11894225.629999999</v>
      </c>
      <c r="D24" s="667"/>
      <c r="E24" s="667"/>
      <c r="F24" s="667"/>
      <c r="G24" s="667"/>
    </row>
    <row r="25" spans="1:8">
      <c r="A25" s="829"/>
      <c r="B25" s="667"/>
      <c r="C25" s="667"/>
      <c r="D25" s="667"/>
      <c r="E25" s="667"/>
      <c r="F25" s="667"/>
      <c r="G25" s="667">
        <v>312127.97340220003</v>
      </c>
    </row>
    <row r="26" spans="1:8" s="495" customFormat="1" ht="4.5" customHeight="1">
      <c r="A26" s="824"/>
      <c r="B26" s="825"/>
      <c r="C26" s="825"/>
      <c r="D26" s="825"/>
      <c r="E26" s="825"/>
      <c r="F26" s="825"/>
      <c r="G26" s="826"/>
    </row>
    <row r="27" spans="1:8">
      <c r="A27" s="827" t="s">
        <v>685</v>
      </c>
      <c r="B27" s="667">
        <f>ABS(cet.plāni!E52)</f>
        <v>11800000</v>
      </c>
      <c r="C27" s="535"/>
      <c r="D27" s="667">
        <f>ABS(cet.plāni!M52)</f>
        <v>0</v>
      </c>
      <c r="E27" s="667">
        <f>ABS(cet.plāni!F52)</f>
        <v>165779.07999999938</v>
      </c>
      <c r="F27" s="667">
        <f>ABS(cet.plāni!N52)</f>
        <v>165779.07999999938</v>
      </c>
      <c r="G27" s="535"/>
    </row>
    <row r="28" spans="1:8">
      <c r="A28" s="828"/>
      <c r="B28" s="667"/>
      <c r="C28" s="667">
        <f>ABS(cet.plāni!I52)</f>
        <v>11800000</v>
      </c>
      <c r="D28" s="667"/>
      <c r="E28" s="667"/>
      <c r="F28" s="667"/>
      <c r="G28" s="667"/>
    </row>
    <row r="29" spans="1:8">
      <c r="A29" s="829"/>
      <c r="B29" s="667"/>
      <c r="C29" s="667"/>
      <c r="D29" s="667"/>
      <c r="E29" s="667"/>
      <c r="F29" s="667"/>
      <c r="G29" s="667">
        <v>1485730.9671041665</v>
      </c>
    </row>
    <row r="30" spans="1:8" s="495" customFormat="1" ht="4.5" customHeight="1">
      <c r="A30" s="824"/>
      <c r="B30" s="825"/>
      <c r="C30" s="825"/>
      <c r="D30" s="825"/>
      <c r="E30" s="825"/>
      <c r="F30" s="825"/>
      <c r="G30" s="826"/>
    </row>
    <row r="31" spans="1:8">
      <c r="A31" s="670" t="s">
        <v>172</v>
      </c>
      <c r="B31" s="664">
        <f t="shared" ref="B31:G31" si="0">SUM(B3:B29)</f>
        <v>284366287.97090602</v>
      </c>
      <c r="C31" s="664">
        <f t="shared" si="0"/>
        <v>154768215.37377</v>
      </c>
      <c r="D31" s="664">
        <f>SUM(D3:D29)</f>
        <v>16430797</v>
      </c>
      <c r="E31" s="664">
        <f t="shared" si="0"/>
        <v>28408478.344285272</v>
      </c>
      <c r="F31" s="664">
        <f t="shared" si="0"/>
        <v>44839275.344285272</v>
      </c>
      <c r="G31" s="664">
        <f t="shared" si="0"/>
        <v>52044569.034585498</v>
      </c>
    </row>
  </sheetData>
  <protectedRanges>
    <protectedRange sqref="B4:B6 C13:C14 C9:C10 C21:C22 C25:C26 C29:C30 B20:B22 B28:B30 C5:C6 B24:B26 B12:B14 B17:C18 B8:B10 B16" name="footnote_7"/>
    <protectedRange sqref="A17:A18 A3:A6 A11:A14 A7:A10 A19:A30 A15:A16" name="footnote_1_6"/>
    <protectedRange sqref="G5:G6 G12:G14 G28:G30 G24:G26 G20:G22 G8:G10 G16:G18" name="footnote"/>
  </protectedRanges>
  <mergeCells count="14">
    <mergeCell ref="A3:A5"/>
    <mergeCell ref="A15:A17"/>
    <mergeCell ref="A11:A13"/>
    <mergeCell ref="A6:G6"/>
    <mergeCell ref="A10:G10"/>
    <mergeCell ref="A14:G14"/>
    <mergeCell ref="A30:G30"/>
    <mergeCell ref="A7:A9"/>
    <mergeCell ref="A19:A21"/>
    <mergeCell ref="A23:A25"/>
    <mergeCell ref="A27:A29"/>
    <mergeCell ref="A18:G18"/>
    <mergeCell ref="A22:H22"/>
    <mergeCell ref="A26:G26"/>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6"/>
  <sheetViews>
    <sheetView zoomScaleNormal="100" workbookViewId="0">
      <selection activeCell="E12" sqref="E12"/>
    </sheetView>
  </sheetViews>
  <sheetFormatPr defaultRowHeight="15"/>
  <cols>
    <col min="2" max="2" width="18.42578125" hidden="1" customWidth="1"/>
    <col min="3" max="3" width="20.7109375" hidden="1" customWidth="1"/>
    <col min="4" max="4" width="20.28515625" customWidth="1"/>
    <col min="5" max="5" width="13.7109375" customWidth="1"/>
    <col min="6" max="6" width="19.7109375" customWidth="1"/>
    <col min="7" max="7" width="23.7109375" customWidth="1"/>
    <col min="8" max="8" width="12.42578125" customWidth="1"/>
    <col min="9" max="9" width="19.5703125" customWidth="1"/>
    <col min="10" max="10" width="12.7109375" customWidth="1"/>
    <col min="11" max="11" width="17.85546875" customWidth="1"/>
  </cols>
  <sheetData>
    <row r="1" spans="1:11" ht="15.75">
      <c r="A1" s="832"/>
      <c r="B1" s="832"/>
      <c r="C1" s="832"/>
      <c r="D1" s="832"/>
      <c r="E1" s="832"/>
      <c r="F1" s="832"/>
      <c r="G1" s="832"/>
      <c r="H1" s="832"/>
      <c r="I1" s="832"/>
      <c r="J1" s="832"/>
      <c r="K1" s="832"/>
    </row>
    <row r="2" spans="1:11" ht="89.25" customHeight="1">
      <c r="A2" s="832" t="s">
        <v>914</v>
      </c>
      <c r="B2" s="832"/>
      <c r="C2" s="832"/>
      <c r="D2" s="832"/>
      <c r="E2" s="832"/>
      <c r="F2" s="832"/>
      <c r="G2" s="832"/>
      <c r="H2" s="832"/>
      <c r="I2" s="832"/>
      <c r="J2" s="832"/>
      <c r="K2" s="832"/>
    </row>
    <row r="3" spans="1:11" ht="89.25">
      <c r="A3" s="671"/>
      <c r="B3" s="668" t="s">
        <v>908</v>
      </c>
      <c r="C3" s="668" t="s">
        <v>906</v>
      </c>
      <c r="D3" s="672" t="s">
        <v>899</v>
      </c>
      <c r="E3" s="672" t="s">
        <v>900</v>
      </c>
      <c r="F3" s="672" t="s">
        <v>901</v>
      </c>
      <c r="G3" s="673" t="s">
        <v>897</v>
      </c>
      <c r="H3" s="674" t="s">
        <v>912</v>
      </c>
      <c r="I3" s="674" t="s">
        <v>913</v>
      </c>
      <c r="J3" s="674" t="s">
        <v>902</v>
      </c>
      <c r="K3" s="674" t="s">
        <v>903</v>
      </c>
    </row>
    <row r="4" spans="1:11">
      <c r="A4" s="671"/>
      <c r="B4" s="666">
        <v>1</v>
      </c>
      <c r="C4" s="668">
        <v>2</v>
      </c>
      <c r="D4" s="672">
        <v>1</v>
      </c>
      <c r="E4" s="672">
        <v>2</v>
      </c>
      <c r="F4" s="672">
        <v>3</v>
      </c>
      <c r="G4" s="673">
        <v>4</v>
      </c>
      <c r="H4" s="674">
        <v>5</v>
      </c>
      <c r="I4" s="674">
        <v>6</v>
      </c>
      <c r="J4" s="674">
        <v>7</v>
      </c>
      <c r="K4" s="674" t="s">
        <v>904</v>
      </c>
    </row>
    <row r="5" spans="1:11">
      <c r="A5" s="680" t="s">
        <v>687</v>
      </c>
      <c r="B5" s="667">
        <f>ABS(cet.plāni!E55)</f>
        <v>82719293</v>
      </c>
      <c r="C5" s="667">
        <f>ABS(cet.plāni!I55)</f>
        <v>43658061</v>
      </c>
      <c r="D5" s="667">
        <v>22345446.923021886</v>
      </c>
      <c r="E5" s="667">
        <v>12917831</v>
      </c>
      <c r="F5" s="667">
        <v>9427616.3930218853</v>
      </c>
      <c r="G5" s="667">
        <v>14785949.785991568</v>
      </c>
      <c r="H5" s="667">
        <f>ABS(cet.plāni!M55)</f>
        <v>500000</v>
      </c>
      <c r="I5" s="667">
        <f>ABS(cet.plāni!F55)</f>
        <v>20149793.224285275</v>
      </c>
      <c r="J5" s="667">
        <f>ABS(cet.plāni!N55)</f>
        <v>20649793.224285275</v>
      </c>
      <c r="K5" s="675">
        <f t="shared" ref="K5:K12" si="0">J5-D5</f>
        <v>-1695653.6987366118</v>
      </c>
    </row>
    <row r="6" spans="1:11">
      <c r="A6" s="680" t="s">
        <v>5</v>
      </c>
      <c r="B6" s="667">
        <f>ABS(cet.plāni!E30)</f>
        <v>36037209.557135999</v>
      </c>
      <c r="C6" s="667">
        <f>ABS(cet.plāni!I30)</f>
        <v>1775040</v>
      </c>
      <c r="D6" s="667">
        <v>2212516.1140000299</v>
      </c>
      <c r="E6" s="667">
        <v>0</v>
      </c>
      <c r="F6" s="667">
        <v>2212516.1140000299</v>
      </c>
      <c r="G6" s="667">
        <v>2493962.5767379175</v>
      </c>
      <c r="H6" s="667">
        <f>ABS(cet.plāni!M30)</f>
        <v>3197606</v>
      </c>
      <c r="I6" s="667">
        <f>ABS(cet.plāni!F30)</f>
        <v>0</v>
      </c>
      <c r="J6" s="667">
        <f>ABS(cet.plāni!N30)</f>
        <v>3197606</v>
      </c>
      <c r="K6" s="675">
        <f t="shared" si="0"/>
        <v>985089.88599997014</v>
      </c>
    </row>
    <row r="7" spans="1:11">
      <c r="A7" s="680" t="s">
        <v>168</v>
      </c>
      <c r="B7" s="667">
        <f>ABS(cet.plāni!E47)</f>
        <v>52382961</v>
      </c>
      <c r="C7" s="667">
        <f>ABS(cet.plāni!I47)</f>
        <v>50289770</v>
      </c>
      <c r="D7" s="667">
        <v>5789939.8999999948</v>
      </c>
      <c r="E7" s="667">
        <v>5789939.8999999948</v>
      </c>
      <c r="F7" s="667">
        <v>0</v>
      </c>
      <c r="G7" s="667">
        <v>268448.37000000011</v>
      </c>
      <c r="H7" s="667">
        <f>ABS(cet.plāni!M47)</f>
        <v>6733191</v>
      </c>
      <c r="I7" s="667">
        <f>ABS(cet.plāni!F47)</f>
        <v>0</v>
      </c>
      <c r="J7" s="667">
        <f>ABS(cet.plāni!N47)</f>
        <v>6733191</v>
      </c>
      <c r="K7" s="675">
        <f t="shared" si="0"/>
        <v>943251.10000000522</v>
      </c>
    </row>
    <row r="8" spans="1:11">
      <c r="A8" s="680" t="s">
        <v>155</v>
      </c>
      <c r="B8" s="667">
        <f>ABS(cet.plāni!E24)</f>
        <v>56835208</v>
      </c>
      <c r="C8" s="667">
        <f>ABS(cet.plāni!I24)</f>
        <v>8776480</v>
      </c>
      <c r="D8" s="667">
        <v>12299159.010000005</v>
      </c>
      <c r="E8" s="667">
        <v>11400207.530000005</v>
      </c>
      <c r="F8" s="667">
        <v>898951.48000000045</v>
      </c>
      <c r="G8" s="535">
        <v>32269727.408574041</v>
      </c>
      <c r="H8" s="667">
        <f>ABS(cet.plāni!M24)</f>
        <v>6000000</v>
      </c>
      <c r="I8" s="667">
        <f>ABS(cet.plāni!F24)</f>
        <v>6781859.3200000003</v>
      </c>
      <c r="J8" s="667">
        <f>ABS(cet.plāni!N24)</f>
        <v>12781859.32</v>
      </c>
      <c r="K8" s="675">
        <f t="shared" si="0"/>
        <v>482700.30999999493</v>
      </c>
    </row>
    <row r="9" spans="1:11">
      <c r="A9" s="669" t="s">
        <v>156</v>
      </c>
      <c r="B9" s="667">
        <f>ABS(cet.plāni!E40)</f>
        <v>32591616.413770001</v>
      </c>
      <c r="C9" s="667">
        <f>ABS(cet.plāni!I40)</f>
        <v>26574638.74377</v>
      </c>
      <c r="D9" s="667">
        <v>325000.29999999842</v>
      </c>
      <c r="E9" s="667">
        <v>325000.29999999842</v>
      </c>
      <c r="F9" s="667">
        <v>0</v>
      </c>
      <c r="G9" s="535">
        <v>428621.95277560357</v>
      </c>
      <c r="H9" s="667">
        <f>ABS(cet.plāni!M40)</f>
        <v>0</v>
      </c>
      <c r="I9" s="667">
        <f>ABS(cet.plāni!F40)</f>
        <v>0</v>
      </c>
      <c r="J9" s="667">
        <f>ABS(cet.plāni!N40)</f>
        <v>0</v>
      </c>
      <c r="K9" s="675">
        <f t="shared" si="0"/>
        <v>-325000.29999999842</v>
      </c>
    </row>
    <row r="10" spans="1:11">
      <c r="A10" s="680" t="s">
        <v>170</v>
      </c>
      <c r="B10" s="667">
        <f>ABS(cet.plāni!E37)</f>
        <v>12000000</v>
      </c>
      <c r="C10" s="667">
        <f>ABS(cet.plāni!I37)</f>
        <v>11894225.629999999</v>
      </c>
      <c r="D10" s="667">
        <v>933578.65000000177</v>
      </c>
      <c r="E10" s="667">
        <v>0</v>
      </c>
      <c r="F10" s="667">
        <v>933578.65000000177</v>
      </c>
      <c r="G10" s="535">
        <v>312127.97340220003</v>
      </c>
      <c r="H10" s="667">
        <f>ABS(cet.plāni!M37)</f>
        <v>0</v>
      </c>
      <c r="I10" s="667">
        <f>ABS(cet.plāni!F37)</f>
        <v>1311046.7200000007</v>
      </c>
      <c r="J10" s="667">
        <f>ABS(cet.plāni!N37)</f>
        <v>1311046.7200000007</v>
      </c>
      <c r="K10" s="675">
        <f t="shared" si="0"/>
        <v>377468.0699999989</v>
      </c>
    </row>
    <row r="11" spans="1:11">
      <c r="A11" s="680" t="s">
        <v>685</v>
      </c>
      <c r="B11" s="667">
        <f>ABS(cet.plāni!E52)</f>
        <v>11800000</v>
      </c>
      <c r="C11" s="667">
        <f>ABS(cet.plāni!I52)</f>
        <v>11800000</v>
      </c>
      <c r="D11" s="667">
        <v>0</v>
      </c>
      <c r="E11" s="667">
        <v>0</v>
      </c>
      <c r="F11" s="667">
        <v>0</v>
      </c>
      <c r="G11" s="535">
        <v>1485730.9671041665</v>
      </c>
      <c r="H11" s="667">
        <f>ABS(cet.plāni!M52)</f>
        <v>0</v>
      </c>
      <c r="I11" s="667">
        <f>ABS(cet.plāni!F52)</f>
        <v>165779.07999999938</v>
      </c>
      <c r="J11" s="667">
        <f>ABS(cet.plāni!N52)</f>
        <v>165779.07999999938</v>
      </c>
      <c r="K11" s="676">
        <f t="shared" si="0"/>
        <v>165779.07999999938</v>
      </c>
    </row>
    <row r="12" spans="1:11">
      <c r="A12" s="677" t="s">
        <v>905</v>
      </c>
      <c r="B12" s="678">
        <f>SUM(B5:B11)</f>
        <v>284366287.97090602</v>
      </c>
      <c r="C12" s="678">
        <f>SUM(C5:C10)</f>
        <v>142968215.37377</v>
      </c>
      <c r="D12" s="679">
        <f t="shared" ref="D12:J12" si="1">SUM(D5:D11)</f>
        <v>43905640.897021912</v>
      </c>
      <c r="E12" s="679">
        <f t="shared" si="1"/>
        <v>30432978.729999997</v>
      </c>
      <c r="F12" s="679">
        <f t="shared" si="1"/>
        <v>13472662.637021918</v>
      </c>
      <c r="G12" s="678">
        <f t="shared" si="1"/>
        <v>52044569.034585498</v>
      </c>
      <c r="H12" s="678">
        <f t="shared" si="1"/>
        <v>16430797</v>
      </c>
      <c r="I12" s="678">
        <f t="shared" si="1"/>
        <v>28408478.344285272</v>
      </c>
      <c r="J12" s="678">
        <f t="shared" si="1"/>
        <v>44839275.344285272</v>
      </c>
      <c r="K12" s="676">
        <f t="shared" si="0"/>
        <v>933634.44726336002</v>
      </c>
    </row>
    <row r="14" spans="1:11">
      <c r="B14" s="536"/>
      <c r="C14" s="536"/>
      <c r="D14" s="536"/>
    </row>
    <row r="15" spans="1:11">
      <c r="B15" s="681"/>
      <c r="C15" s="536"/>
      <c r="D15" s="536"/>
    </row>
    <row r="16" spans="1:11">
      <c r="B16" s="536"/>
      <c r="C16" s="536"/>
      <c r="D16" s="536"/>
    </row>
  </sheetData>
  <protectedRanges>
    <protectedRange sqref="G5:G7 B12:C12 G12:I12" name="footnote_5_1"/>
    <protectedRange sqref="A5:A12" name="footnote_1_3_1"/>
    <protectedRange sqref="B15" name="footnote_7_7"/>
  </protectedRanges>
  <mergeCells count="2">
    <mergeCell ref="A2:K2"/>
    <mergeCell ref="A1:K1"/>
  </mergeCells>
  <conditionalFormatting sqref="K5">
    <cfRule type="iconSet" priority="10">
      <iconSet iconSet="3Arrows">
        <cfvo type="percent" val="0"/>
        <cfvo type="num" val="1"/>
        <cfvo type="num" val="1" gte="0"/>
      </iconSet>
    </cfRule>
  </conditionalFormatting>
  <conditionalFormatting sqref="K6">
    <cfRule type="iconSet" priority="9">
      <iconSet iconSet="3Arrows">
        <cfvo type="percent" val="0"/>
        <cfvo type="num" val="1"/>
        <cfvo type="num" val="1" gte="0"/>
      </iconSet>
    </cfRule>
  </conditionalFormatting>
  <conditionalFormatting sqref="K7">
    <cfRule type="iconSet" priority="8">
      <iconSet iconSet="3Arrows">
        <cfvo type="percent" val="0"/>
        <cfvo type="num" val="1"/>
        <cfvo type="num" val="1" gte="0"/>
      </iconSet>
    </cfRule>
  </conditionalFormatting>
  <conditionalFormatting sqref="K8">
    <cfRule type="iconSet" priority="7">
      <iconSet iconSet="3Arrows">
        <cfvo type="percent" val="0"/>
        <cfvo type="num" val="1"/>
        <cfvo type="num" val="1" gte="0"/>
      </iconSet>
    </cfRule>
  </conditionalFormatting>
  <conditionalFormatting sqref="K9">
    <cfRule type="iconSet" priority="6">
      <iconSet iconSet="3Arrows">
        <cfvo type="percent" val="0"/>
        <cfvo type="num" val="1"/>
        <cfvo type="num" val="1" gte="0"/>
      </iconSet>
    </cfRule>
  </conditionalFormatting>
  <conditionalFormatting sqref="K10">
    <cfRule type="iconSet" priority="5">
      <iconSet iconSet="3Arrows">
        <cfvo type="percent" val="0"/>
        <cfvo type="num" val="1"/>
        <cfvo type="num" val="1" gte="0"/>
      </iconSet>
    </cfRule>
  </conditionalFormatting>
  <conditionalFormatting sqref="K11">
    <cfRule type="iconSet" priority="4">
      <iconSet iconSet="3Arrows">
        <cfvo type="percent" val="0"/>
        <cfvo type="num" val="1"/>
        <cfvo type="num" val="1" gte="0"/>
      </iconSet>
    </cfRule>
  </conditionalFormatting>
  <conditionalFormatting sqref="K12">
    <cfRule type="iconSet" priority="1">
      <iconSet iconSet="3Arrows">
        <cfvo type="percent" val="0"/>
        <cfvo type="num" val="1"/>
        <cfvo type="num" val="1" gte="0"/>
      </iconSet>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zoomScale="70" zoomScaleNormal="70" workbookViewId="0">
      <selection activeCell="M1" sqref="M1"/>
    </sheetView>
  </sheetViews>
  <sheetFormatPr defaultRowHeight="15" outlineLevelCol="1"/>
  <cols>
    <col min="2" max="2" width="23" customWidth="1"/>
    <col min="3" max="3" width="16" customWidth="1"/>
    <col min="4" max="4" width="20.28515625" hidden="1" customWidth="1" outlineLevel="1"/>
    <col min="5" max="5" width="18.28515625" customWidth="1" collapsed="1"/>
    <col min="6" max="6" width="18.28515625" hidden="1" customWidth="1" outlineLevel="1"/>
    <col min="7" max="7" width="18.28515625" customWidth="1" collapsed="1"/>
    <col min="8" max="15" width="14.7109375" customWidth="1"/>
  </cols>
  <sheetData>
    <row r="1" spans="2:15" ht="186" customHeight="1" thickTop="1">
      <c r="B1" s="20" t="s">
        <v>158</v>
      </c>
      <c r="C1" s="19" t="s">
        <v>174</v>
      </c>
      <c r="D1" s="2" t="s">
        <v>152</v>
      </c>
      <c r="E1" s="19" t="s">
        <v>179</v>
      </c>
      <c r="F1" s="2" t="s">
        <v>153</v>
      </c>
      <c r="G1" s="18" t="s">
        <v>173</v>
      </c>
      <c r="H1" s="18" t="s">
        <v>143</v>
      </c>
      <c r="I1" s="18" t="s">
        <v>144</v>
      </c>
      <c r="J1" s="18" t="s">
        <v>145</v>
      </c>
      <c r="K1" s="18" t="s">
        <v>146</v>
      </c>
      <c r="L1" s="18" t="s">
        <v>178</v>
      </c>
      <c r="M1" s="24" t="s">
        <v>147</v>
      </c>
      <c r="N1" s="25"/>
      <c r="O1" s="25"/>
    </row>
    <row r="2" spans="2:15" s="33" customFormat="1" ht="24.75" customHeight="1">
      <c r="B2" s="34"/>
      <c r="C2" s="36" t="s">
        <v>265</v>
      </c>
      <c r="D2" s="36" t="s">
        <v>265</v>
      </c>
      <c r="E2" s="36" t="s">
        <v>265</v>
      </c>
      <c r="F2" s="36" t="s">
        <v>265</v>
      </c>
      <c r="G2" s="36" t="s">
        <v>265</v>
      </c>
      <c r="H2" s="36" t="s">
        <v>265</v>
      </c>
      <c r="I2" s="36" t="s">
        <v>265</v>
      </c>
      <c r="J2" s="36" t="s">
        <v>265</v>
      </c>
      <c r="K2" s="36" t="s">
        <v>265</v>
      </c>
      <c r="L2" s="36" t="s">
        <v>265</v>
      </c>
      <c r="M2" s="36" t="s">
        <v>265</v>
      </c>
      <c r="N2" s="35"/>
      <c r="O2" s="35"/>
    </row>
    <row r="3" spans="2:15" ht="20.25" customHeight="1">
      <c r="B3" s="8" t="s">
        <v>0</v>
      </c>
      <c r="C3" s="9">
        <f>SUM(C4:C10)</f>
        <v>409807622.18692797</v>
      </c>
      <c r="D3" s="9">
        <f>SUM(D4:D10)</f>
        <v>0</v>
      </c>
      <c r="E3" s="9">
        <f>SUM(E4:E10)</f>
        <v>409807622.33852798</v>
      </c>
      <c r="F3" s="9">
        <f t="shared" ref="F3:L3" si="0">SUM(F4:F10)</f>
        <v>0</v>
      </c>
      <c r="G3" s="9">
        <f t="shared" si="0"/>
        <v>409807622.3760519</v>
      </c>
      <c r="H3" s="9">
        <f t="shared" si="0"/>
        <v>392134278.05999994</v>
      </c>
      <c r="I3" s="26">
        <f>H3/G3</f>
        <v>0.95687404686720456</v>
      </c>
      <c r="J3" s="9">
        <f t="shared" si="0"/>
        <v>391149774.02999991</v>
      </c>
      <c r="K3" s="26">
        <f t="shared" ref="K3:K9" si="1">J3/G3</f>
        <v>0.95447169030709</v>
      </c>
      <c r="L3" s="9">
        <f t="shared" si="0"/>
        <v>257064601.13</v>
      </c>
      <c r="M3" s="26">
        <f t="shared" ref="M3:M9" si="2">L3/G3</f>
        <v>0.62728116094948994</v>
      </c>
      <c r="O3" s="1">
        <f>L3-'pielikums Nr.1'!AC9</f>
        <v>0</v>
      </c>
    </row>
    <row r="4" spans="2:15" ht="20.25" customHeight="1">
      <c r="B4" s="10" t="s">
        <v>5</v>
      </c>
      <c r="C4" s="11">
        <f>'pielikums Nr.1'!F20+'pielikums Nr.1'!F21+'pielikums Nr.1'!F22+'pielikums Nr.1'!F30+'pielikums Nr.1'!F42+'pielikums Nr.1'!F44+'pielikums Nr.1'!F45+'pielikums Nr.1'!F47+'pielikums Nr.1'!F48+'pielikums Nr.1'!F50+'pielikums Nr.1'!F51+'pielikums Nr.1'!F53+'pielikums Nr.1'!F54</f>
        <v>166495472.06192797</v>
      </c>
      <c r="D4" s="11">
        <f>'pielikums Nr.1'!G20+'pielikums Nr.1'!G21+'pielikums Nr.1'!G22+'pielikums Nr.1'!G30+'pielikums Nr.1'!G42+'pielikums Nr.1'!G44+'pielikums Nr.1'!G45+'pielikums Nr.1'!G47+'pielikums Nr.1'!G48+'pielikums Nr.1'!G50+'pielikums Nr.1'!G51+'pielikums Nr.1'!G53+'pielikums Nr.1'!G54</f>
        <v>0</v>
      </c>
      <c r="E4" s="11">
        <f>'pielikums Nr.1'!H20+'pielikums Nr.1'!H21+'pielikums Nr.1'!H22+'pielikums Nr.1'!H30+'pielikums Nr.1'!H42+'pielikums Nr.1'!H44+'pielikums Nr.1'!H45+'pielikums Nr.1'!H47+'pielikums Nr.1'!H48+'pielikums Nr.1'!H50+'pielikums Nr.1'!H51+'pielikums Nr.1'!H53+'pielikums Nr.1'!H54</f>
        <v>166495472.21352798</v>
      </c>
      <c r="F4" s="11">
        <f>'pielikums Nr.1'!I20+'pielikums Nr.1'!I21+'pielikums Nr.1'!I22+'pielikums Nr.1'!I30+'pielikums Nr.1'!I42+'pielikums Nr.1'!I44+'pielikums Nr.1'!I45+'pielikums Nr.1'!I47+'pielikums Nr.1'!I48+'pielikums Nr.1'!I50+'pielikums Nr.1'!I51+'pielikums Nr.1'!I53+'pielikums Nr.1'!I54</f>
        <v>0</v>
      </c>
      <c r="G4" s="11">
        <f>'pielikums Nr.1'!J20+'pielikums Nr.1'!J21+'pielikums Nr.1'!J22+'pielikums Nr.1'!J30+'pielikums Nr.1'!J42+'pielikums Nr.1'!J44+'pielikums Nr.1'!J45+'pielikums Nr.1'!J47+'pielikums Nr.1'!J48+'pielikums Nr.1'!J50+'pielikums Nr.1'!J51+'pielikums Nr.1'!J53+'pielikums Nr.1'!J54</f>
        <v>166495472.21352798</v>
      </c>
      <c r="H4" s="11">
        <f>'pielikums Nr.1'!P20+'pielikums Nr.1'!P21+'pielikums Nr.1'!P22+'pielikums Nr.1'!P30+'pielikums Nr.1'!P42+'pielikums Nr.1'!P44+'pielikums Nr.1'!P45+'pielikums Nr.1'!P47+'pielikums Nr.1'!P48+'pielikums Nr.1'!P50+'pielikums Nr.1'!P51+'pielikums Nr.1'!P53+'pielikums Nr.1'!P54</f>
        <v>158479808.44</v>
      </c>
      <c r="I4" s="27">
        <f t="shared" ref="I4:I10" si="3">H4/G4</f>
        <v>0.95185656602572344</v>
      </c>
      <c r="J4" s="11">
        <f>'pielikums Nr.1'!R20+'pielikums Nr.1'!R21+'pielikums Nr.1'!R22+'pielikums Nr.1'!R30+'pielikums Nr.1'!R42+'pielikums Nr.1'!R44+'pielikums Nr.1'!R45+'pielikums Nr.1'!R47+'pielikums Nr.1'!R48+'pielikums Nr.1'!R50+'pielikums Nr.1'!R51+'pielikums Nr.1'!R53+'pielikums Nr.1'!R54</f>
        <v>158301035.44</v>
      </c>
      <c r="K4" s="29">
        <f t="shared" si="1"/>
        <v>0.95078282511479506</v>
      </c>
      <c r="L4" s="11">
        <f>'pielikums Nr.1'!AC20+'pielikums Nr.1'!AC21+'pielikums Nr.1'!AC22+'pielikums Nr.1'!AC30+'pielikums Nr.1'!AC42+'pielikums Nr.1'!AC44+'pielikums Nr.1'!AC45+'pielikums Nr.1'!AC47+'pielikums Nr.1'!AC48+'pielikums Nr.1'!AC50+'pielikums Nr.1'!AC51+'pielikums Nr.1'!AC53+'pielikums Nr.1'!AC54</f>
        <v>102632471.78</v>
      </c>
      <c r="M4" s="28">
        <f t="shared" si="2"/>
        <v>0.61642800501130368</v>
      </c>
    </row>
    <row r="5" spans="2:15" ht="20.25" customHeight="1">
      <c r="B5" s="10" t="s">
        <v>156</v>
      </c>
      <c r="C5" s="11">
        <f>'pielikums Nr.1'!F43+'pielikums Nr.1'!F59+'pielikums Nr.1'!F61+'pielikums Nr.1'!F64+'pielikums Nr.1'!F67+'pielikums Nr.1'!F68+'pielikums Nr.1'!F69+'pielikums Nr.1'!F70+'pielikums Nr.1'!F71+'pielikums Nr.1'!F79+'pielikums Nr.1'!F82</f>
        <v>169862412.51492</v>
      </c>
      <c r="D5" s="11">
        <f>'pielikums Nr.1'!G43+'pielikums Nr.1'!G59+'pielikums Nr.1'!G61+'pielikums Nr.1'!G64+'pielikums Nr.1'!G67+'pielikums Nr.1'!G68+'pielikums Nr.1'!G69+'pielikums Nr.1'!G70+'pielikums Nr.1'!G71+'pielikums Nr.1'!G79+'pielikums Nr.1'!G82</f>
        <v>0</v>
      </c>
      <c r="E5" s="11">
        <f>'pielikums Nr.1'!H43+'pielikums Nr.1'!H59+'pielikums Nr.1'!H61+'pielikums Nr.1'!H64+'pielikums Nr.1'!H67+'pielikums Nr.1'!H68+'pielikums Nr.1'!H69+'pielikums Nr.1'!H70+'pielikums Nr.1'!H71+'pielikums Nr.1'!H79+'pielikums Nr.1'!H82</f>
        <v>169862412.51492</v>
      </c>
      <c r="F5" s="11">
        <f>'pielikums Nr.1'!I43+'pielikums Nr.1'!I59+'pielikums Nr.1'!I61+'pielikums Nr.1'!I64+'pielikums Nr.1'!I67+'pielikums Nr.1'!I68+'pielikums Nr.1'!I69+'pielikums Nr.1'!I70+'pielikums Nr.1'!I71+'pielikums Nr.1'!I79+'pielikums Nr.1'!I82</f>
        <v>0</v>
      </c>
      <c r="G5" s="11">
        <f>'pielikums Nr.1'!J43+'pielikums Nr.1'!J59+'pielikums Nr.1'!J61+'pielikums Nr.1'!J64+'pielikums Nr.1'!J67+'pielikums Nr.1'!J68+'pielikums Nr.1'!J69+'pielikums Nr.1'!J70+'pielikums Nr.1'!J71+'pielikums Nr.1'!J79+'pielikums Nr.1'!J82</f>
        <v>169862412.51491997</v>
      </c>
      <c r="H5" s="11">
        <f>'pielikums Nr.1'!P43+'pielikums Nr.1'!P59+'pielikums Nr.1'!P61+'pielikums Nr.1'!P64+'pielikums Nr.1'!P67+'pielikums Nr.1'!P68+'pielikums Nr.1'!P69+'pielikums Nr.1'!P70+'pielikums Nr.1'!P71+'pielikums Nr.1'!P79+'pielikums Nr.1'!P82</f>
        <v>165283031.74000001</v>
      </c>
      <c r="I5" s="27">
        <f t="shared" si="3"/>
        <v>0.97304064679690261</v>
      </c>
      <c r="J5" s="11">
        <f>'pielikums Nr.1'!R43+'pielikums Nr.1'!R59+'pielikums Nr.1'!R61+'pielikums Nr.1'!R64+'pielikums Nr.1'!R67+'pielikums Nr.1'!R68+'pielikums Nr.1'!R69+'pielikums Nr.1'!R70+'pielikums Nr.1'!R71+'pielikums Nr.1'!R79+'pielikums Nr.1'!R82</f>
        <v>165085611</v>
      </c>
      <c r="K5" s="29">
        <f t="shared" si="1"/>
        <v>0.97187840768186196</v>
      </c>
      <c r="L5" s="11">
        <f>'pielikums Nr.1'!AC43+'pielikums Nr.1'!AC59+'pielikums Nr.1'!AC61+'pielikums Nr.1'!AC64+'pielikums Nr.1'!AC67+'pielikums Nr.1'!AC68+'pielikums Nr.1'!AC69+'pielikums Nr.1'!AC70+'pielikums Nr.1'!AC71+'pielikums Nr.1'!AC79+'pielikums Nr.1'!AC82</f>
        <v>116794795.20999999</v>
      </c>
      <c r="M5" s="28">
        <f t="shared" si="2"/>
        <v>0.68758469564148716</v>
      </c>
      <c r="N5" s="1"/>
      <c r="O5" s="1"/>
    </row>
    <row r="6" spans="2:15" ht="20.25" customHeight="1">
      <c r="B6" s="10" t="s">
        <v>155</v>
      </c>
      <c r="C6" s="11">
        <f>'pielikums Nr.1'!F58+'pielikums Nr.1'!F60+'pielikums Nr.1'!F62+'pielikums Nr.1'!F63+'pielikums Nr.1'!F72</f>
        <v>35793734.451771997</v>
      </c>
      <c r="D6" s="11">
        <f>'pielikums Nr.1'!G58+'pielikums Nr.1'!G60+'pielikums Nr.1'!G63+'pielikums Nr.1'!G72</f>
        <v>0</v>
      </c>
      <c r="E6" s="11">
        <f>'pielikums Nr.1'!H58+'pielikums Nr.1'!H60+'pielikums Nr.1'!H62+'pielikums Nr.1'!H63+'pielikums Nr.1'!H72</f>
        <v>35793734.451771997</v>
      </c>
      <c r="F6" s="11">
        <f>'pielikums Nr.1'!I58+'pielikums Nr.1'!I60+'pielikums Nr.1'!I63+'pielikums Nr.1'!I72</f>
        <v>0</v>
      </c>
      <c r="G6" s="11">
        <f>'pielikums Nr.1'!J58+'pielikums Nr.1'!J60+'pielikums Nr.1'!J62+'pielikums Nr.1'!J63+'pielikums Nr.1'!J72</f>
        <v>35793734.451771997</v>
      </c>
      <c r="H6" s="11">
        <f>'pielikums Nr.1'!P58+'pielikums Nr.1'!P60+'pielikums Nr.1'!P62+'pielikums Nr.1'!P63+'pielikums Nr.1'!P72</f>
        <v>31615451.960000001</v>
      </c>
      <c r="I6" s="27">
        <f t="shared" si="3"/>
        <v>0.88326776862577006</v>
      </c>
      <c r="J6" s="11">
        <f>'pielikums Nr.1'!R58+'pielikums Nr.1'!R60+'pielikums Nr.1'!R62+'pielikums Nr.1'!R63+'pielikums Nr.1'!R72</f>
        <v>31615451.960000001</v>
      </c>
      <c r="K6" s="29">
        <f t="shared" si="1"/>
        <v>0.88326776862577006</v>
      </c>
      <c r="L6" s="11">
        <f>'pielikums Nr.1'!AC58+'pielikums Nr.1'!AC60+'pielikums Nr.1'!R62+'pielikums Nr.1'!AC63+'pielikums Nr.1'!AC72</f>
        <v>17514824.850000001</v>
      </c>
      <c r="M6" s="28">
        <f t="shared" si="2"/>
        <v>0.48932655723864871</v>
      </c>
      <c r="O6" s="1"/>
    </row>
    <row r="7" spans="2:15" ht="20.25" customHeight="1">
      <c r="B7" s="10" t="s">
        <v>159</v>
      </c>
      <c r="C7" s="11">
        <f>'pielikums Nr.1'!F90+'pielikums Nr.1'!F91+'pielikums Nr.1'!F92+'pielikums Nr.1'!F95</f>
        <v>8279706.1583080003</v>
      </c>
      <c r="D7" s="11">
        <f>'pielikums Nr.1'!G90+'pielikums Nr.1'!G91+'pielikums Nr.1'!G92+'pielikums Nr.1'!G95</f>
        <v>0</v>
      </c>
      <c r="E7" s="11">
        <f>'pielikums Nr.1'!H90+'pielikums Nr.1'!H91+'pielikums Nr.1'!H92+'pielikums Nr.1'!H95</f>
        <v>8279706.1583080003</v>
      </c>
      <c r="F7" s="11">
        <f>'pielikums Nr.1'!I90+'pielikums Nr.1'!I91+'pielikums Nr.1'!I92+'pielikums Nr.1'!I95</f>
        <v>0</v>
      </c>
      <c r="G7" s="11">
        <f>'pielikums Nr.1'!J90+'pielikums Nr.1'!J91+'pielikums Nr.1'!J92+'pielikums Nr.1'!J95</f>
        <v>8279706.1583080003</v>
      </c>
      <c r="H7" s="11">
        <f>'pielikums Nr.1'!P90+'pielikums Nr.1'!P91+'pielikums Nr.1'!P92+'pielikums Nr.1'!P95</f>
        <v>7456720.1300000008</v>
      </c>
      <c r="I7" s="27">
        <f t="shared" si="3"/>
        <v>0.9006020246887384</v>
      </c>
      <c r="J7" s="11">
        <f>'pielikums Nr.1'!R90+'pielikums Nr.1'!R91+'pielikums Nr.1'!R92+'pielikums Nr.1'!R95</f>
        <v>6848409.8399999999</v>
      </c>
      <c r="K7" s="29">
        <f t="shared" si="1"/>
        <v>0.82713199104634738</v>
      </c>
      <c r="L7" s="11">
        <f>'pielikums Nr.1'!AC90+'pielikums Nr.1'!AC91+'pielikums Nr.1'!AC92+'pielikums Nr.1'!AC95</f>
        <v>3577926.6600000006</v>
      </c>
      <c r="M7" s="28">
        <f t="shared" si="2"/>
        <v>0.4321320819350391</v>
      </c>
      <c r="N7" s="1"/>
      <c r="O7" s="1"/>
    </row>
    <row r="8" spans="2:15" ht="20.25" customHeight="1">
      <c r="B8" s="10" t="s">
        <v>160</v>
      </c>
      <c r="C8" s="11">
        <f>'pielikums Nr.1'!F73</f>
        <v>8720346</v>
      </c>
      <c r="D8" s="11">
        <f>'pielikums Nr.1'!G73</f>
        <v>0</v>
      </c>
      <c r="E8" s="11">
        <f>'pielikums Nr.1'!H73</f>
        <v>8720346</v>
      </c>
      <c r="F8" s="11">
        <f>'pielikums Nr.1'!I73</f>
        <v>0</v>
      </c>
      <c r="G8" s="11">
        <f>'pielikums Nr.1'!J73</f>
        <v>8720346</v>
      </c>
      <c r="H8" s="11">
        <f>'pielikums Nr.1'!P73</f>
        <v>8720345</v>
      </c>
      <c r="I8" s="27">
        <f t="shared" si="3"/>
        <v>0.99999988532565109</v>
      </c>
      <c r="J8" s="11">
        <f>'pielikums Nr.1'!R73</f>
        <v>8720345</v>
      </c>
      <c r="K8" s="29">
        <f t="shared" si="1"/>
        <v>0.99999988532565109</v>
      </c>
      <c r="L8" s="11">
        <f>'pielikums Nr.1'!AC73</f>
        <v>5618510.1900000004</v>
      </c>
      <c r="M8" s="28">
        <f t="shared" si="2"/>
        <v>0.64429899799847401</v>
      </c>
      <c r="N8" s="21"/>
      <c r="O8" s="21"/>
    </row>
    <row r="9" spans="2:15" ht="20.25" customHeight="1">
      <c r="B9" s="10" t="s">
        <v>157</v>
      </c>
      <c r="C9" s="11">
        <f>'pielikums Nr.1'!F89+'pielikums Nr.1'!F104</f>
        <v>15629235</v>
      </c>
      <c r="D9" s="11">
        <f>'pielikums Nr.1'!G89+'pielikums Nr.1'!G104</f>
        <v>0</v>
      </c>
      <c r="E9" s="11">
        <f>'pielikums Nr.1'!H89+'pielikums Nr.1'!H104</f>
        <v>15629235</v>
      </c>
      <c r="F9" s="11">
        <f>'pielikums Nr.1'!I89+'pielikums Nr.1'!I104</f>
        <v>0</v>
      </c>
      <c r="G9" s="11">
        <f>'pielikums Nr.1'!J89+'pielikums Nr.1'!J104</f>
        <v>15629235.037524</v>
      </c>
      <c r="H9" s="11">
        <f>'pielikums Nr.1'!P89+'pielikums Nr.1'!P104</f>
        <v>15603792.59</v>
      </c>
      <c r="I9" s="27">
        <f t="shared" si="3"/>
        <v>0.99837212458172675</v>
      </c>
      <c r="J9" s="11">
        <f>'pielikums Nr.1'!R89+'pielikums Nr.1'!R104</f>
        <v>15603792.59</v>
      </c>
      <c r="K9" s="29">
        <f t="shared" si="1"/>
        <v>0.99837212458172675</v>
      </c>
      <c r="L9" s="11">
        <f>'pielikums Nr.1'!AC89+'pielikums Nr.1'!AC104</f>
        <v>7557471.3100000005</v>
      </c>
      <c r="M9" s="28">
        <f t="shared" si="2"/>
        <v>0.48354710207219864</v>
      </c>
      <c r="N9" s="1"/>
      <c r="O9" s="1"/>
    </row>
    <row r="10" spans="2:15" ht="20.25" customHeight="1">
      <c r="B10" s="10" t="s">
        <v>190</v>
      </c>
      <c r="C10" s="11">
        <f>'pielikums Nr.1'!F101</f>
        <v>5026716</v>
      </c>
      <c r="D10" s="11">
        <f>'pielikums Nr.1'!G101</f>
        <v>0</v>
      </c>
      <c r="E10" s="11">
        <f>'pielikums Nr.1'!H101</f>
        <v>5026716</v>
      </c>
      <c r="F10" s="11">
        <f>'pielikums Nr.1'!I101</f>
        <v>0</v>
      </c>
      <c r="G10" s="11">
        <f>'pielikums Nr.1'!J101</f>
        <v>5026716</v>
      </c>
      <c r="H10" s="11">
        <f>'pielikums Nr.1'!P101</f>
        <v>4975128.2</v>
      </c>
      <c r="I10" s="27">
        <f t="shared" si="3"/>
        <v>0.98973727578800952</v>
      </c>
      <c r="J10" s="11">
        <f>'pielikums Nr.1'!R101</f>
        <v>4975128.2</v>
      </c>
      <c r="K10" s="29">
        <f>J10/G10</f>
        <v>0.98973727578800952</v>
      </c>
      <c r="L10" s="11">
        <f>'pielikums Nr.1'!AC101</f>
        <v>3368601.13</v>
      </c>
      <c r="M10" s="28">
        <f>L10/G10</f>
        <v>0.67013953642895274</v>
      </c>
      <c r="N10" s="1"/>
      <c r="O10" s="1"/>
    </row>
    <row r="11" spans="2:15">
      <c r="B11" s="12"/>
      <c r="C11" s="13"/>
    </row>
    <row r="12" spans="2:15">
      <c r="B12" s="8" t="s">
        <v>56</v>
      </c>
      <c r="C12" s="9">
        <f>C13+C16+C19+C22+C23+C24+C26+C27+C28</f>
        <v>1692047973.6974201</v>
      </c>
      <c r="D12" s="9">
        <f t="shared" ref="D12:E12" si="4">D13+D16+D19+D22+D23+D24+D26+D27+D28</f>
        <v>1044291813</v>
      </c>
      <c r="E12" s="9">
        <f t="shared" si="4"/>
        <v>1692047973.9923201</v>
      </c>
      <c r="F12" s="9">
        <f t="shared" ref="F12" si="5">F13+F16+F19+F22+F23+F24+F26+F27+F28</f>
        <v>549630088</v>
      </c>
      <c r="G12" s="9">
        <f t="shared" ref="G12:H12" si="6">G13+G16+G19+G22+G23+G24+G26+G27+G28</f>
        <v>1692047973.8012722</v>
      </c>
      <c r="H12" s="9">
        <f t="shared" si="6"/>
        <v>1445985574.1100001</v>
      </c>
      <c r="I12" s="26">
        <f>H12/G12</f>
        <v>0.85457717304641179</v>
      </c>
      <c r="J12" s="9">
        <f>J13+J16+J19+J22+J23+J24+J26+J27+J28</f>
        <v>1406307444.6900003</v>
      </c>
      <c r="K12" s="26">
        <f t="shared" ref="K12:K27" si="7">J12/G12</f>
        <v>0.83112740682562258</v>
      </c>
      <c r="L12" s="9">
        <f>L13+L16+L19+L22+L23+L24+L26+L27+L28</f>
        <v>734462803.5200001</v>
      </c>
      <c r="M12" s="32">
        <f t="shared" ref="M12:M27" si="8">L12/G12</f>
        <v>0.43406736386438965</v>
      </c>
    </row>
    <row r="13" spans="2:15">
      <c r="B13" s="14" t="s">
        <v>155</v>
      </c>
      <c r="C13" s="13">
        <f>C14+C15</f>
        <v>397232003.36944401</v>
      </c>
      <c r="D13" s="13">
        <f t="shared" ref="D13:H13" si="9">D14+D15</f>
        <v>494661725</v>
      </c>
      <c r="E13" s="13">
        <f t="shared" si="9"/>
        <v>412371614.25744402</v>
      </c>
      <c r="F13" s="13">
        <f t="shared" si="9"/>
        <v>0</v>
      </c>
      <c r="G13" s="13">
        <f t="shared" si="9"/>
        <v>412371614.06639606</v>
      </c>
      <c r="H13" s="13">
        <f t="shared" si="9"/>
        <v>346051153.81999999</v>
      </c>
      <c r="I13" s="27">
        <f>H13/G13</f>
        <v>0.83917307112288819</v>
      </c>
      <c r="J13" s="13">
        <f>J14+J15</f>
        <v>342305514.50000006</v>
      </c>
      <c r="K13" s="31">
        <f t="shared" si="7"/>
        <v>0.83008990634570057</v>
      </c>
      <c r="L13" s="13">
        <f>L14+L15</f>
        <v>208977546.41</v>
      </c>
      <c r="M13" s="31">
        <f t="shared" si="8"/>
        <v>0.50676996010775965</v>
      </c>
    </row>
    <row r="14" spans="2:15">
      <c r="B14" s="15" t="s">
        <v>161</v>
      </c>
      <c r="C14" s="16">
        <f>'pielikums Nr.1'!F115+'pielikums Nr.1'!F128+'pielikums Nr.1'!F138</f>
        <v>332510628.392564</v>
      </c>
      <c r="D14" s="16">
        <f>'pielikums Nr.1'!G115+'pielikums Nr.1'!G128+'pielikums Nr.1'!G138</f>
        <v>494661725</v>
      </c>
      <c r="E14" s="16">
        <f>'pielikums Nr.1'!H115+'pielikums Nr.1'!H128+'pielikums Nr.1'!H138</f>
        <v>347650239.28056401</v>
      </c>
      <c r="F14" s="16">
        <f>'pielikums Nr.1'!I115+'pielikums Nr.1'!I128+'pielikums Nr.1'!I138</f>
        <v>0</v>
      </c>
      <c r="G14" s="16">
        <f>'pielikums Nr.1'!J115+'pielikums Nr.1'!J128+'pielikums Nr.1'!J138</f>
        <v>347650239.08951604</v>
      </c>
      <c r="H14" s="16">
        <f>'pielikums Nr.1'!P115+'pielikums Nr.1'!P128+'pielikums Nr.1'!P138</f>
        <v>301568839.05000001</v>
      </c>
      <c r="I14" s="27">
        <f t="shared" ref="I14:I28" si="10">H14/G14</f>
        <v>0.86744896203666755</v>
      </c>
      <c r="J14" s="16">
        <f>'pielikums Nr.1'!R115+'pielikums Nr.1'!R128+'pielikums Nr.1'!R138</f>
        <v>300512572.75000006</v>
      </c>
      <c r="K14" s="31">
        <f t="shared" si="7"/>
        <v>0.8644106603724252</v>
      </c>
      <c r="L14" s="16">
        <f>'pielikums Nr.1'!AC115+'pielikums Nr.1'!AC128+'pielikums Nr.1'!AC138</f>
        <v>199511308.25</v>
      </c>
      <c r="M14" s="31">
        <f t="shared" si="8"/>
        <v>0.57388514609543551</v>
      </c>
      <c r="O14" s="1"/>
    </row>
    <row r="15" spans="2:15">
      <c r="B15" s="15" t="s">
        <v>162</v>
      </c>
      <c r="C15" s="16">
        <f>'pielikums Nr.1'!F222+'pielikums Nr.1'!F232</f>
        <v>64721374.976879999</v>
      </c>
      <c r="D15" s="16">
        <f>'pielikums Nr.1'!G222+'pielikums Nr.1'!G232</f>
        <v>0</v>
      </c>
      <c r="E15" s="16">
        <f>'pielikums Nr.1'!H222+'pielikums Nr.1'!H232</f>
        <v>64721374.976879999</v>
      </c>
      <c r="F15" s="16">
        <f>'pielikums Nr.1'!I222+'pielikums Nr.1'!I232</f>
        <v>0</v>
      </c>
      <c r="G15" s="16">
        <f>'pielikums Nr.1'!J222+'pielikums Nr.1'!J232</f>
        <v>64721374.976879999</v>
      </c>
      <c r="H15" s="16">
        <f>'pielikums Nr.1'!P222+'pielikums Nr.1'!P232</f>
        <v>44482314.770000003</v>
      </c>
      <c r="I15" s="27">
        <f t="shared" si="10"/>
        <v>0.68728939683203782</v>
      </c>
      <c r="J15" s="16">
        <f>'pielikums Nr.1'!R222+'pielikums Nr.1'!R232</f>
        <v>41792941.75</v>
      </c>
      <c r="K15" s="31">
        <f t="shared" si="7"/>
        <v>0.64573630836689466</v>
      </c>
      <c r="L15" s="16">
        <f>'pielikums Nr.1'!AC222+'pielikums Nr.1'!AC232</f>
        <v>9466238.1600000001</v>
      </c>
      <c r="M15" s="31">
        <f t="shared" si="8"/>
        <v>0.14626138834939095</v>
      </c>
      <c r="O15" s="1"/>
    </row>
    <row r="16" spans="2:15">
      <c r="B16" s="14" t="s">
        <v>163</v>
      </c>
      <c r="C16" s="13">
        <f>C17+C18</f>
        <v>355536473.05330002</v>
      </c>
      <c r="D16" s="13">
        <f t="shared" ref="D16:H16" si="11">D17+D18</f>
        <v>17359037</v>
      </c>
      <c r="E16" s="13">
        <f t="shared" si="11"/>
        <v>342191749.36317599</v>
      </c>
      <c r="F16" s="13">
        <f t="shared" si="11"/>
        <v>17359037</v>
      </c>
      <c r="G16" s="13">
        <f t="shared" si="11"/>
        <v>342191749.36317599</v>
      </c>
      <c r="H16" s="13">
        <f t="shared" si="11"/>
        <v>318951051.09000003</v>
      </c>
      <c r="I16" s="27">
        <f t="shared" si="10"/>
        <v>0.93208282106033458</v>
      </c>
      <c r="J16" s="13">
        <f>J17+J18</f>
        <v>286013030.09000003</v>
      </c>
      <c r="K16" s="31">
        <f t="shared" si="7"/>
        <v>0.8358267860703088</v>
      </c>
      <c r="L16" s="13">
        <f>L17+L18</f>
        <v>117562281.29000002</v>
      </c>
      <c r="M16" s="31">
        <f t="shared" si="8"/>
        <v>0.34355673831641237</v>
      </c>
    </row>
    <row r="17" spans="2:15">
      <c r="B17" s="15" t="s">
        <v>164</v>
      </c>
      <c r="C17" s="16">
        <f>'pielikums Nr.1'!F109</f>
        <v>167317954</v>
      </c>
      <c r="D17" s="16">
        <f>'pielikums Nr.1'!G109</f>
        <v>0</v>
      </c>
      <c r="E17" s="16">
        <f>'pielikums Nr.1'!H109</f>
        <v>153973230.30987599</v>
      </c>
      <c r="F17" s="16">
        <f>'pielikums Nr.1'!I109</f>
        <v>0</v>
      </c>
      <c r="G17" s="16">
        <f>'pielikums Nr.1'!J109</f>
        <v>153973230.30987599</v>
      </c>
      <c r="H17" s="16">
        <f>'pielikums Nr.1'!P109</f>
        <v>137546144</v>
      </c>
      <c r="I17" s="27">
        <f t="shared" si="10"/>
        <v>0.89331206290329845</v>
      </c>
      <c r="J17" s="16">
        <f>'pielikums Nr.1'!R109</f>
        <v>104608123</v>
      </c>
      <c r="K17" s="31">
        <f t="shared" si="7"/>
        <v>0.67939162404706877</v>
      </c>
      <c r="L17" s="16">
        <f>'pielikums Nr.1'!AC109</f>
        <v>37330446.939999998</v>
      </c>
      <c r="M17" s="31">
        <f t="shared" si="8"/>
        <v>0.24244764407989164</v>
      </c>
    </row>
    <row r="18" spans="2:15">
      <c r="B18" s="15" t="s">
        <v>165</v>
      </c>
      <c r="C18" s="16">
        <f>'pielikums Nr.1'!F156+'pielikums Nr.1'!F159+'pielikums Nr.1'!F162+'pielikums Nr.1'!F198</f>
        <v>188218519.05329999</v>
      </c>
      <c r="D18" s="16">
        <f>'pielikums Nr.1'!G156+'pielikums Nr.1'!G159+'pielikums Nr.1'!G162+'pielikums Nr.1'!G198</f>
        <v>17359037</v>
      </c>
      <c r="E18" s="16">
        <f>'pielikums Nr.1'!H156+'pielikums Nr.1'!H159+'pielikums Nr.1'!H162+'pielikums Nr.1'!H198</f>
        <v>188218519.05329999</v>
      </c>
      <c r="F18" s="16">
        <f>'pielikums Nr.1'!I156+'pielikums Nr.1'!I159+'pielikums Nr.1'!I162+'pielikums Nr.1'!I198</f>
        <v>17359037</v>
      </c>
      <c r="G18" s="16">
        <f>'pielikums Nr.1'!J156+'pielikums Nr.1'!J159+'pielikums Nr.1'!J162+'pielikums Nr.1'!J198</f>
        <v>188218519.05329999</v>
      </c>
      <c r="H18" s="16">
        <f>'pielikums Nr.1'!P156+'pielikums Nr.1'!P159+'pielikums Nr.1'!P162+'pielikums Nr.1'!P198</f>
        <v>181404907.09</v>
      </c>
      <c r="I18" s="27">
        <f t="shared" si="10"/>
        <v>0.96379946034231356</v>
      </c>
      <c r="J18" s="16">
        <f>'pielikums Nr.1'!R156+'pielikums Nr.1'!R159+'pielikums Nr.1'!R162+'pielikums Nr.1'!R198</f>
        <v>181404907.09</v>
      </c>
      <c r="K18" s="31">
        <f t="shared" si="7"/>
        <v>0.96379946034231356</v>
      </c>
      <c r="L18" s="16">
        <f>'pielikums Nr.1'!AC156+'pielikums Nr.1'!AC159+'pielikums Nr.1'!AC162+'pielikums Nr.1'!AC198</f>
        <v>80231834.350000024</v>
      </c>
      <c r="M18" s="31">
        <f t="shared" si="8"/>
        <v>0.42626960807868142</v>
      </c>
    </row>
    <row r="19" spans="2:15">
      <c r="B19" s="10" t="s">
        <v>157</v>
      </c>
      <c r="C19" s="13">
        <f>C20+C21</f>
        <v>58437446.266179994</v>
      </c>
      <c r="D19" s="13">
        <f t="shared" ref="D19:H19" si="12">D20+D21</f>
        <v>57610045</v>
      </c>
      <c r="E19" s="13">
        <f t="shared" si="12"/>
        <v>56642559.363204002</v>
      </c>
      <c r="F19" s="13">
        <f t="shared" si="12"/>
        <v>57610045</v>
      </c>
      <c r="G19" s="13">
        <f t="shared" si="12"/>
        <v>56642559.363204002</v>
      </c>
      <c r="H19" s="13">
        <f t="shared" si="12"/>
        <v>51627522.200000003</v>
      </c>
      <c r="I19" s="27">
        <f t="shared" si="10"/>
        <v>0.91146167793996513</v>
      </c>
      <c r="J19" s="13">
        <f>J20+J21</f>
        <v>51627522.200000003</v>
      </c>
      <c r="K19" s="31">
        <f t="shared" si="7"/>
        <v>0.91146167793996513</v>
      </c>
      <c r="L19" s="13">
        <f>L20+L21</f>
        <v>19546668.039999999</v>
      </c>
      <c r="M19" s="31">
        <f t="shared" si="8"/>
        <v>0.34508800908275794</v>
      </c>
      <c r="O19" s="1"/>
    </row>
    <row r="20" spans="2:15">
      <c r="B20" s="17" t="s">
        <v>166</v>
      </c>
      <c r="C20" s="16">
        <f>'pielikums Nr.1'!F150</f>
        <v>17948876.199999999</v>
      </c>
      <c r="D20" s="16">
        <f>'pielikums Nr.1'!G150</f>
        <v>0</v>
      </c>
      <c r="E20" s="16">
        <f>'pielikums Nr.1'!H150</f>
        <v>16153989.297024</v>
      </c>
      <c r="F20" s="16">
        <f>'pielikums Nr.1'!I150</f>
        <v>0</v>
      </c>
      <c r="G20" s="16">
        <f>'pielikums Nr.1'!J150</f>
        <v>16153989.297024</v>
      </c>
      <c r="H20" s="16">
        <f>'pielikums Nr.1'!P150</f>
        <v>15409970.640000001</v>
      </c>
      <c r="I20" s="27">
        <f t="shared" si="10"/>
        <v>0.95394211031444298</v>
      </c>
      <c r="J20" s="16">
        <f>'pielikums Nr.1'!R150</f>
        <v>15409970.640000001</v>
      </c>
      <c r="K20" s="31">
        <f t="shared" si="7"/>
        <v>0.95394211031444298</v>
      </c>
      <c r="L20" s="16">
        <f>'pielikums Nr.1'!AC150</f>
        <v>6001445.3099999996</v>
      </c>
      <c r="M20" s="31">
        <f t="shared" si="8"/>
        <v>0.37151475091701514</v>
      </c>
      <c r="O20" s="1"/>
    </row>
    <row r="21" spans="2:15">
      <c r="B21" s="17" t="s">
        <v>167</v>
      </c>
      <c r="C21" s="16">
        <f>'pielikums Nr.1'!F259</f>
        <v>40488570.066179998</v>
      </c>
      <c r="D21" s="16">
        <f>'pielikums Nr.1'!G259</f>
        <v>57610045</v>
      </c>
      <c r="E21" s="16">
        <f>'pielikums Nr.1'!H259</f>
        <v>40488570.066179998</v>
      </c>
      <c r="F21" s="16">
        <f>'pielikums Nr.1'!I259</f>
        <v>57610045</v>
      </c>
      <c r="G21" s="16">
        <f>'pielikums Nr.1'!J259</f>
        <v>40488570.066179998</v>
      </c>
      <c r="H21" s="16">
        <f>'pielikums Nr.1'!P259</f>
        <v>36217551.560000002</v>
      </c>
      <c r="I21" s="27">
        <f t="shared" si="10"/>
        <v>0.89451298232565724</v>
      </c>
      <c r="J21" s="16">
        <f>'pielikums Nr.1'!R259</f>
        <v>36217551.560000002</v>
      </c>
      <c r="K21" s="31">
        <f t="shared" si="7"/>
        <v>0.89451298232565724</v>
      </c>
      <c r="L21" s="16">
        <f>'pielikums Nr.1'!AC259</f>
        <v>13545222.73</v>
      </c>
      <c r="M21" s="31">
        <f t="shared" si="8"/>
        <v>0.33454435925644832</v>
      </c>
    </row>
    <row r="22" spans="2:15">
      <c r="B22" s="10" t="s">
        <v>168</v>
      </c>
      <c r="C22" s="13">
        <f>'pielikums Nr.1'!F187+'pielikums Nr.1'!F200+'pielikums Nr.1'!F201</f>
        <v>247572042.939924</v>
      </c>
      <c r="D22" s="13">
        <f>'pielikums Nr.1'!G187+'pielikums Nr.1'!G200+'pielikums Nr.1'!G201</f>
        <v>23034492</v>
      </c>
      <c r="E22" s="13">
        <f>'pielikums Nr.1'!H187+'pielikums Nr.1'!H200+'pielikums Nr.1'!H201</f>
        <v>247572042.939924</v>
      </c>
      <c r="F22" s="13">
        <f>'pielikums Nr.1'!I187+'pielikums Nr.1'!I200+'pielikums Nr.1'!I201</f>
        <v>23034492</v>
      </c>
      <c r="G22" s="13">
        <f>'pielikums Nr.1'!J187+'pielikums Nr.1'!J200+'pielikums Nr.1'!J201</f>
        <v>247572042.939924</v>
      </c>
      <c r="H22" s="13">
        <f>'pielikums Nr.1'!P187+'pielikums Nr.1'!P200+'pielikums Nr.1'!P201</f>
        <v>201039944.75</v>
      </c>
      <c r="I22" s="27">
        <f t="shared" si="10"/>
        <v>0.81204623253355179</v>
      </c>
      <c r="J22" s="13">
        <f>'pielikums Nr.1'!R187+'pielikums Nr.1'!R200+'pielikums Nr.1'!R201</f>
        <v>201039944.75</v>
      </c>
      <c r="K22" s="31">
        <f t="shared" si="7"/>
        <v>0.81204623253355179</v>
      </c>
      <c r="L22" s="13">
        <f>'pielikums Nr.1'!AC187+'pielikums Nr.1'!AC200+'pielikums Nr.1'!AC201</f>
        <v>81936824.289999992</v>
      </c>
      <c r="M22" s="31">
        <f t="shared" si="8"/>
        <v>0.33096153877876605</v>
      </c>
    </row>
    <row r="23" spans="2:15">
      <c r="B23" s="38" t="s">
        <v>169</v>
      </c>
      <c r="C23" s="39">
        <f>'pielikums Nr.1'!F215</f>
        <v>136883295.841932</v>
      </c>
      <c r="D23" s="39">
        <f>'pielikums Nr.1'!G215</f>
        <v>0</v>
      </c>
      <c r="E23" s="39">
        <f>'pielikums Nr.1'!H215</f>
        <v>136883295.841932</v>
      </c>
      <c r="F23" s="39">
        <f>'pielikums Nr.1'!I215</f>
        <v>0</v>
      </c>
      <c r="G23" s="39">
        <f>'pielikums Nr.1'!J215</f>
        <v>136883295.841932</v>
      </c>
      <c r="H23" s="39">
        <f>'pielikums Nr.1'!P215</f>
        <v>83322161.799999997</v>
      </c>
      <c r="I23" s="40">
        <f t="shared" si="10"/>
        <v>0.60870949437261868</v>
      </c>
      <c r="J23" s="39">
        <f>'pielikums Nr.1'!R215</f>
        <v>83133133.700000003</v>
      </c>
      <c r="K23" s="41">
        <f t="shared" si="7"/>
        <v>0.60732855085546167</v>
      </c>
      <c r="L23" s="39">
        <f>'pielikums Nr.1'!AC215</f>
        <v>46212847.480000004</v>
      </c>
      <c r="M23" s="41">
        <f t="shared" si="8"/>
        <v>0.33760764741787758</v>
      </c>
    </row>
    <row r="24" spans="2:15">
      <c r="B24" s="38" t="s">
        <v>187</v>
      </c>
      <c r="C24" s="39">
        <f>'pielikums Nr.1'!F176+'pielikums Nr.1'!F177+'pielikums Nr.1'!F197+'pielikums Nr.1'!F199+'pielikums Nr.1'!F253+'pielikums Nr.1'!F254+'pielikums Nr.1'!F256</f>
        <v>315316839.259368</v>
      </c>
      <c r="D24" s="39">
        <f>'pielikums Nr.1'!G176+'pielikums Nr.1'!G177+'pielikums Nr.1'!G197+'pielikums Nr.1'!G199+'pielikums Nr.1'!G253+'pielikums Nr.1'!G254+'pielikums Nr.1'!G256</f>
        <v>448655442</v>
      </c>
      <c r="E24" s="39">
        <f>'pielikums Nr.1'!H176+'pielikums Nr.1'!H177+'pielikums Nr.1'!H197+'pielikums Nr.1'!H199+'pielikums Nr.1'!H253+'pielikums Nr.1'!H254+'pielikums Nr.1'!H256</f>
        <v>315316839.259368</v>
      </c>
      <c r="F24" s="39">
        <f>'pielikums Nr.1'!I176+'pielikums Nr.1'!I177+'pielikums Nr.1'!I197+'pielikums Nr.1'!I199+'pielikums Nr.1'!I253+'pielikums Nr.1'!I254+'pielikums Nr.1'!I256</f>
        <v>448655442</v>
      </c>
      <c r="G24" s="39">
        <f>'pielikums Nr.1'!J176+'pielikums Nr.1'!J177+'pielikums Nr.1'!J197+'pielikums Nr.1'!J199+'pielikums Nr.1'!J253+'pielikums Nr.1'!J254+'pielikums Nr.1'!J256</f>
        <v>315316839.259368</v>
      </c>
      <c r="H24" s="39">
        <f>'pielikums Nr.1'!P176+'pielikums Nr.1'!P177+'pielikums Nr.1'!P197+'pielikums Nr.1'!P199+'pielikums Nr.1'!P253+'pielikums Nr.1'!P254+'pielikums Nr.1'!P256</f>
        <v>266711433.99000001</v>
      </c>
      <c r="I24" s="40">
        <f t="shared" si="10"/>
        <v>0.84585217401159163</v>
      </c>
      <c r="J24" s="39">
        <f>'pielikums Nr.1'!R176+'pielikums Nr.1'!R177+'pielikums Nr.1'!R197+'pielikums Nr.1'!R199+'pielikums Nr.1'!R253+'pielikums Nr.1'!R254+'pielikums Nr.1'!R256</f>
        <v>263910157.99000001</v>
      </c>
      <c r="K24" s="41">
        <f t="shared" si="7"/>
        <v>0.83696817020583303</v>
      </c>
      <c r="L24" s="39">
        <f>'pielikums Nr.1'!AC176+'pielikums Nr.1'!AC177+'pielikums Nr.1'!AC197+'pielikums Nr.1'!AC199+'pielikums Nr.1'!AC253+'pielikums Nr.1'!AC254+'pielikums Nr.1'!AC256</f>
        <v>177505847.10000002</v>
      </c>
      <c r="M24" s="41">
        <f t="shared" si="8"/>
        <v>0.56294439433344146</v>
      </c>
    </row>
    <row r="25" spans="2:15">
      <c r="B25" s="10" t="s">
        <v>188</v>
      </c>
      <c r="C25" s="13">
        <f>C23+C24</f>
        <v>452200135.1013</v>
      </c>
      <c r="D25" s="13">
        <f t="shared" ref="D25:L25" si="13">D23+D24</f>
        <v>448655442</v>
      </c>
      <c r="E25" s="13">
        <f t="shared" si="13"/>
        <v>452200135.1013</v>
      </c>
      <c r="F25" s="13">
        <f t="shared" si="13"/>
        <v>448655442</v>
      </c>
      <c r="G25" s="13">
        <f t="shared" si="13"/>
        <v>452200135.1013</v>
      </c>
      <c r="H25" s="13">
        <f t="shared" si="13"/>
        <v>350033595.79000002</v>
      </c>
      <c r="I25" s="27">
        <f t="shared" si="10"/>
        <v>0.77406787088107998</v>
      </c>
      <c r="J25" s="13">
        <f t="shared" si="13"/>
        <v>347043291.69</v>
      </c>
      <c r="K25" s="31">
        <f t="shared" si="7"/>
        <v>0.7674550818350746</v>
      </c>
      <c r="L25" s="13">
        <f t="shared" si="13"/>
        <v>223718694.58000004</v>
      </c>
      <c r="M25" s="31">
        <f t="shared" si="8"/>
        <v>0.49473380747638102</v>
      </c>
      <c r="O25" s="1"/>
    </row>
    <row r="26" spans="2:15">
      <c r="B26" s="10" t="s">
        <v>160</v>
      </c>
      <c r="C26" s="13">
        <f>'pielikums Nr.1'!F178</f>
        <v>145516627.32562798</v>
      </c>
      <c r="D26" s="13">
        <f>'pielikums Nr.1'!G178</f>
        <v>0</v>
      </c>
      <c r="E26" s="13">
        <f>'pielikums Nr.1'!H178</f>
        <v>145516627.32562798</v>
      </c>
      <c r="F26" s="13">
        <f>'pielikums Nr.1'!I178</f>
        <v>0</v>
      </c>
      <c r="G26" s="13">
        <f>'pielikums Nr.1'!J178</f>
        <v>145516627.32562798</v>
      </c>
      <c r="H26" s="13">
        <f>'pielikums Nr.1'!P178</f>
        <v>144067513.84999999</v>
      </c>
      <c r="I26" s="27">
        <f t="shared" si="10"/>
        <v>0.9900415952303151</v>
      </c>
      <c r="J26" s="13">
        <f>'pielikums Nr.1'!R178</f>
        <v>144063348.84999999</v>
      </c>
      <c r="K26" s="31">
        <f t="shared" si="7"/>
        <v>0.99001297307162062</v>
      </c>
      <c r="L26" s="13">
        <f>'pielikums Nr.1'!AC178</f>
        <v>68759730.179999992</v>
      </c>
      <c r="M26" s="31">
        <f t="shared" si="8"/>
        <v>0.47252146674712148</v>
      </c>
      <c r="O26" s="1"/>
    </row>
    <row r="27" spans="2:15">
      <c r="B27" s="10" t="s">
        <v>170</v>
      </c>
      <c r="C27" s="13">
        <f>'pielikums Nr.1'!F228</f>
        <v>25335213.425843999</v>
      </c>
      <c r="D27" s="13">
        <f>'pielikums Nr.1'!G228</f>
        <v>0</v>
      </c>
      <c r="E27" s="13">
        <f>'pielikums Nr.1'!H228</f>
        <v>25335213.425843999</v>
      </c>
      <c r="F27" s="13">
        <f>'pielikums Nr.1'!I228</f>
        <v>0</v>
      </c>
      <c r="G27" s="13">
        <f>'pielikums Nr.1'!J228</f>
        <v>25335213.425843999</v>
      </c>
      <c r="H27" s="13">
        <f>'pielikums Nr.1'!P228</f>
        <v>24012558.949999996</v>
      </c>
      <c r="I27" s="27">
        <f t="shared" si="10"/>
        <v>0.94779382933893952</v>
      </c>
      <c r="J27" s="13">
        <f>'pielikums Nr.1'!R228</f>
        <v>24012558.949999996</v>
      </c>
      <c r="K27" s="31">
        <f t="shared" si="7"/>
        <v>0.94779382933893952</v>
      </c>
      <c r="L27" s="13">
        <f>'pielikums Nr.1'!AC228</f>
        <v>6406758.2699999996</v>
      </c>
      <c r="M27" s="31">
        <f t="shared" si="8"/>
        <v>0.25287958551257278</v>
      </c>
    </row>
    <row r="28" spans="2:15">
      <c r="B28" s="10" t="s">
        <v>156</v>
      </c>
      <c r="C28" s="13">
        <f>'pielikums Nr.1'!F169+'pielikums Nr.1'!F175</f>
        <v>10218032.2158</v>
      </c>
      <c r="D28" s="13">
        <f>'pielikums Nr.1'!G169+'pielikums Nr.1'!G175</f>
        <v>2971072</v>
      </c>
      <c r="E28" s="13">
        <f>'pielikums Nr.1'!H169+'pielikums Nr.1'!H175</f>
        <v>10218032.2158</v>
      </c>
      <c r="F28" s="13">
        <f>'pielikums Nr.1'!I169+'pielikums Nr.1'!I175</f>
        <v>2971072</v>
      </c>
      <c r="G28" s="13">
        <f>'pielikums Nr.1'!J169+'pielikums Nr.1'!J175</f>
        <v>10218032.2158</v>
      </c>
      <c r="H28" s="13">
        <f>'pielikums Nr.1'!P169+'pielikums Nr.1'!P175</f>
        <v>10202233.66</v>
      </c>
      <c r="I28" s="27">
        <f t="shared" si="10"/>
        <v>0.99845385535430475</v>
      </c>
      <c r="J28" s="13">
        <f>'pielikums Nr.1'!R169+'pielikums Nr.1'!R175</f>
        <v>10202233.66</v>
      </c>
      <c r="K28" s="31">
        <f>J28/G28</f>
        <v>0.99845385535430475</v>
      </c>
      <c r="L28" s="13">
        <f>'pielikums Nr.1'!AC169+'pielikums Nr.1'!AC175</f>
        <v>7554300.46</v>
      </c>
      <c r="M28" s="31">
        <f>L28/G28</f>
        <v>0.73931069118365966</v>
      </c>
    </row>
    <row r="29" spans="2:15">
      <c r="B29" s="10"/>
      <c r="C29" s="13"/>
    </row>
    <row r="30" spans="2:15">
      <c r="B30" s="8" t="s">
        <v>171</v>
      </c>
      <c r="C30" s="9">
        <f>SUM(C31:C34)</f>
        <v>1082161120.5546119</v>
      </c>
      <c r="D30" s="9">
        <f t="shared" ref="D30:E30" si="14">SUM(D31:D34)</f>
        <v>1405996921</v>
      </c>
      <c r="E30" s="9">
        <f t="shared" si="14"/>
        <v>1082161120.5546119</v>
      </c>
      <c r="F30" s="9">
        <f t="shared" ref="F30" si="15">SUM(F31:F34)</f>
        <v>1345776921</v>
      </c>
      <c r="G30" s="9">
        <f t="shared" ref="G30:H30" si="16">SUM(G31:G34)</f>
        <v>1082161120.5546119</v>
      </c>
      <c r="H30" s="9">
        <f t="shared" si="16"/>
        <v>961588809.84000003</v>
      </c>
      <c r="I30" s="26">
        <f t="shared" ref="I30:I33" si="17">H30/G30</f>
        <v>0.88858192331580155</v>
      </c>
      <c r="J30" s="9">
        <f>SUM(J31:J34)</f>
        <v>953993845.08000004</v>
      </c>
      <c r="K30" s="26">
        <f t="shared" ref="K30:K33" si="18">J30/G30</f>
        <v>0.88156359248156535</v>
      </c>
      <c r="L30" s="9">
        <f>SUM(L31:L34)</f>
        <v>456509070.74000007</v>
      </c>
      <c r="M30" s="26">
        <f t="shared" ref="M30:M33" si="19">L30/G30</f>
        <v>0.42184944743351832</v>
      </c>
    </row>
    <row r="31" spans="2:15">
      <c r="B31" s="10" t="s">
        <v>189</v>
      </c>
      <c r="C31" s="13">
        <f>'pielikums Nr.1'!F211+'pielikums Nr.1'!F237+'pielikums Nr.1'!F238+'pielikums Nr.1'!F242+'pielikums Nr.1'!F243</f>
        <v>405680525.60073602</v>
      </c>
      <c r="D31" s="13">
        <f>'pielikums Nr.1'!G211+'pielikums Nr.1'!G237+'pielikums Nr.1'!G238+'pielikums Nr.1'!G242+'pielikums Nr.1'!G243</f>
        <v>461960102</v>
      </c>
      <c r="E31" s="13">
        <f>'pielikums Nr.1'!H211+'pielikums Nr.1'!H237+'pielikums Nr.1'!H238+'pielikums Nr.1'!H242+'pielikums Nr.1'!H243</f>
        <v>405680525.60073602</v>
      </c>
      <c r="F31" s="13">
        <f>'pielikums Nr.1'!I211+'pielikums Nr.1'!I237+'pielikums Nr.1'!I238+'pielikums Nr.1'!I242+'pielikums Nr.1'!I243</f>
        <v>461960102</v>
      </c>
      <c r="G31" s="13">
        <f>'pielikums Nr.1'!J211+'pielikums Nr.1'!J237+'pielikums Nr.1'!J238+'pielikums Nr.1'!J242+'pielikums Nr.1'!J243</f>
        <v>405680525.60073602</v>
      </c>
      <c r="H31" s="13">
        <f>'pielikums Nr.1'!P211+'pielikums Nr.1'!P237+'pielikums Nr.1'!P238+'pielikums Nr.1'!P242+'pielikums Nr.1'!P243</f>
        <v>324242143.95000005</v>
      </c>
      <c r="I31" s="31">
        <f t="shared" si="17"/>
        <v>0.79925489021159901</v>
      </c>
      <c r="J31" s="13">
        <f>'pielikums Nr.1'!R211+'pielikums Nr.1'!R237+'pielikums Nr.1'!R238+'pielikums Nr.1'!R242+'pielikums Nr.1'!R243</f>
        <v>320956733.19</v>
      </c>
      <c r="K31" s="31">
        <f t="shared" si="18"/>
        <v>0.79115637289890572</v>
      </c>
      <c r="L31" s="13">
        <f>'pielikums Nr.1'!AC211+'pielikums Nr.1'!AC237+'pielikums Nr.1'!AC238+'pielikums Nr.1'!AC242+'pielikums Nr.1'!AC243</f>
        <v>230942033.77000004</v>
      </c>
      <c r="M31" s="31">
        <f t="shared" si="19"/>
        <v>0.56927069256779983</v>
      </c>
    </row>
    <row r="32" spans="2:15">
      <c r="B32" s="10" t="s">
        <v>168</v>
      </c>
      <c r="C32" s="13">
        <f>'pielikums Nr.1'!F206+'pielikums Nr.1'!F207+'pielikums Nr.1'!F208+'pielikums Nr.1'!F209+'pielikums Nr.1'!F210+'pielikums Nr.1'!F213</f>
        <v>591210286.62860394</v>
      </c>
      <c r="D32" s="13">
        <f>'pielikums Nr.1'!G206+'pielikums Nr.1'!G207+'pielikums Nr.1'!G208+'pielikums Nr.1'!G209+'pielikums Nr.1'!G210+'pielikums Nr.1'!G213</f>
        <v>841216451</v>
      </c>
      <c r="E32" s="13">
        <f>'pielikums Nr.1'!H206+'pielikums Nr.1'!H207+'pielikums Nr.1'!H208+'pielikums Nr.1'!H209+'pielikums Nr.1'!H210+'pielikums Nr.1'!H213</f>
        <v>591210286.62860394</v>
      </c>
      <c r="F32" s="13">
        <f>'pielikums Nr.1'!I206+'pielikums Nr.1'!I207+'pielikums Nr.1'!I208+'pielikums Nr.1'!I209+'pielikums Nr.1'!I210+'pielikums Nr.1'!I213</f>
        <v>841216451</v>
      </c>
      <c r="G32" s="13">
        <f>'pielikums Nr.1'!J206+'pielikums Nr.1'!J207+'pielikums Nr.1'!J208+'pielikums Nr.1'!J209+'pielikums Nr.1'!J210+'pielikums Nr.1'!J213</f>
        <v>591210286.62860394</v>
      </c>
      <c r="H32" s="13">
        <f>'pielikums Nr.1'!P206+'pielikums Nr.1'!P207+'pielikums Nr.1'!P208+'pielikums Nr.1'!P209+'pielikums Nr.1'!P210+'pielikums Nr.1'!P213</f>
        <v>583628904.43000007</v>
      </c>
      <c r="I32" s="31">
        <f t="shared" si="17"/>
        <v>0.98717650492545228</v>
      </c>
      <c r="J32" s="13">
        <f>'pielikums Nr.1'!R206+'pielikums Nr.1'!R207+'pielikums Nr.1'!R208+'pielikums Nr.1'!R209+'pielikums Nr.1'!R210+'pielikums Nr.1'!R213</f>
        <v>579319350.43000007</v>
      </c>
      <c r="K32" s="31">
        <f t="shared" si="18"/>
        <v>0.97988712905113284</v>
      </c>
      <c r="L32" s="13">
        <f>'pielikums Nr.1'!AC206+'pielikums Nr.1'!AC207+'pielikums Nr.1'!AC208+'pielikums Nr.1'!AC209+'pielikums Nr.1'!AC210+'pielikums Nr.1'!AC213</f>
        <v>209161116.63000003</v>
      </c>
      <c r="M32" s="31">
        <f t="shared" si="19"/>
        <v>0.35378463697366996</v>
      </c>
    </row>
    <row r="33" spans="2:13">
      <c r="B33" s="10" t="s">
        <v>155</v>
      </c>
      <c r="C33" s="13">
        <f>'pielikums Nr.1'!F245+'pielikums Nr.1'!F248+'pielikums Nr.1'!F249+'pielikums Nr.1'!F250</f>
        <v>76696099.525272012</v>
      </c>
      <c r="D33" s="13">
        <f>'pielikums Nr.1'!G246+'pielikums Nr.1'!G248+'pielikums Nr.1'!G249+'pielikums Nr.1'!G250</f>
        <v>90620368</v>
      </c>
      <c r="E33" s="13">
        <f>'pielikums Nr.1'!H245+'pielikums Nr.1'!H248+'pielikums Nr.1'!H249+'pielikums Nr.1'!H250</f>
        <v>76696099.525272012</v>
      </c>
      <c r="F33" s="13">
        <f>'pielikums Nr.1'!I245+'pielikums Nr.1'!I248+'pielikums Nr.1'!I249+'pielikums Nr.1'!I250</f>
        <v>30400368</v>
      </c>
      <c r="G33" s="13">
        <f>'pielikums Nr.1'!J245+'pielikums Nr.1'!J248+'pielikums Nr.1'!J249+'pielikums Nr.1'!J250</f>
        <v>76696099.525272012</v>
      </c>
      <c r="H33" s="13">
        <f>'pielikums Nr.1'!P245+'pielikums Nr.1'!P248+'pielikums Nr.1'!P249+'pielikums Nr.1'!P250</f>
        <v>47254384.93</v>
      </c>
      <c r="I33" s="31">
        <f t="shared" si="17"/>
        <v>0.61612500795336123</v>
      </c>
      <c r="J33" s="13">
        <f>'pielikums Nr.1'!R245+'pielikums Nr.1'!R248+'pielikums Nr.1'!R249+'pielikums Nr.1'!R250</f>
        <v>47254384.93</v>
      </c>
      <c r="K33" s="31">
        <f t="shared" si="18"/>
        <v>0.61612500795336123</v>
      </c>
      <c r="L33" s="13">
        <f>'pielikums Nr.1'!AC245+'pielikums Nr.1'!AC248+'pielikums Nr.1'!AC249+'pielikums Nr.1'!AC250</f>
        <v>14381398.260000002</v>
      </c>
      <c r="M33" s="31">
        <f t="shared" si="19"/>
        <v>0.18751146862770002</v>
      </c>
    </row>
    <row r="34" spans="2:13">
      <c r="B34" s="10" t="s">
        <v>157</v>
      </c>
      <c r="C34" s="13">
        <f>'pielikums Nr.1'!F262</f>
        <v>8574208.7999999989</v>
      </c>
      <c r="D34" s="13">
        <f>'pielikums Nr.1'!G262</f>
        <v>12200000</v>
      </c>
      <c r="E34" s="13">
        <f>'pielikums Nr.1'!H262</f>
        <v>8574208.7999999989</v>
      </c>
      <c r="F34" s="13">
        <f>'pielikums Nr.1'!I262</f>
        <v>12200000</v>
      </c>
      <c r="G34" s="13">
        <f>'pielikums Nr.1'!J262</f>
        <v>8574208.7999999989</v>
      </c>
      <c r="H34" s="13">
        <f>'pielikums Nr.1'!P262</f>
        <v>6463376.5300000003</v>
      </c>
      <c r="I34" s="31">
        <f>H34/G34</f>
        <v>0.75381608738056405</v>
      </c>
      <c r="J34" s="13">
        <f>'pielikums Nr.1'!R262</f>
        <v>6463376.5300000003</v>
      </c>
      <c r="K34" s="31">
        <f>J34/G34</f>
        <v>0.75381608738056405</v>
      </c>
      <c r="L34" s="13">
        <f>'pielikums Nr.1'!AC262</f>
        <v>2024522.08</v>
      </c>
      <c r="M34" s="31">
        <f>L34/G34</f>
        <v>0.23611765554391448</v>
      </c>
    </row>
    <row r="35" spans="2:13">
      <c r="B35" s="10"/>
      <c r="C35" s="13"/>
    </row>
    <row r="36" spans="2:13">
      <c r="B36" s="8" t="s">
        <v>172</v>
      </c>
      <c r="C36" s="9">
        <f t="shared" ref="C36:E36" si="20">C30+C12+C3</f>
        <v>3184016716.4389601</v>
      </c>
      <c r="D36" s="9">
        <f t="shared" si="20"/>
        <v>2450288734</v>
      </c>
      <c r="E36" s="9">
        <f t="shared" si="20"/>
        <v>3184016716.8854604</v>
      </c>
      <c r="F36" s="9">
        <f t="shared" ref="F36:L36" si="21">F30+F12+F3</f>
        <v>1895407009</v>
      </c>
      <c r="G36" s="9">
        <f t="shared" si="21"/>
        <v>3184016716.731936</v>
      </c>
      <c r="H36" s="9">
        <f t="shared" si="21"/>
        <v>2799708662.0100002</v>
      </c>
      <c r="I36" s="30">
        <f>H36/G36</f>
        <v>0.87930086776793426</v>
      </c>
      <c r="J36" s="9">
        <f t="shared" si="21"/>
        <v>2751451063.8000002</v>
      </c>
      <c r="K36" s="30">
        <f>J36/G36</f>
        <v>0.8641446664966258</v>
      </c>
      <c r="L36" s="9">
        <f t="shared" si="21"/>
        <v>1448036475.3900003</v>
      </c>
      <c r="M36" s="30">
        <f>L36/G36</f>
        <v>0.45478293747033466</v>
      </c>
    </row>
    <row r="37" spans="2:13">
      <c r="G37" s="22"/>
    </row>
    <row r="38" spans="2:13">
      <c r="G38" s="23"/>
    </row>
    <row r="39" spans="2:13">
      <c r="B39" s="8" t="s">
        <v>181</v>
      </c>
      <c r="C39" s="9">
        <f t="shared" ref="C39:H39" si="22">SUM(C40:C48)</f>
        <v>3184016716.4389601</v>
      </c>
      <c r="D39" s="9">
        <f t="shared" si="22"/>
        <v>2450288734</v>
      </c>
      <c r="E39" s="9">
        <f t="shared" si="22"/>
        <v>3184016716.8854599</v>
      </c>
      <c r="F39" s="9">
        <f t="shared" si="22"/>
        <v>1895407009</v>
      </c>
      <c r="G39" s="9">
        <f t="shared" si="22"/>
        <v>3184016716.7319365</v>
      </c>
      <c r="H39" s="9">
        <f t="shared" si="22"/>
        <v>2799708662.0100002</v>
      </c>
      <c r="I39" s="30">
        <f>H39/G39</f>
        <v>0.87930086776793415</v>
      </c>
      <c r="J39" s="9">
        <f>SUM(J40:J48)</f>
        <v>2751451063.8000002</v>
      </c>
      <c r="K39" s="30">
        <f>J39/G39</f>
        <v>0.86414466649662569</v>
      </c>
      <c r="L39" s="9">
        <f>SUM(L40:L48)</f>
        <v>1448036475.3900001</v>
      </c>
      <c r="M39" s="30">
        <f>L39/G39</f>
        <v>0.45478293747033455</v>
      </c>
    </row>
    <row r="40" spans="2:13">
      <c r="B40" s="10" t="s">
        <v>5</v>
      </c>
      <c r="C40" s="37">
        <f>C4+C16</f>
        <v>522031945.115228</v>
      </c>
      <c r="D40" s="37">
        <f t="shared" ref="D40:L40" si="23">D4+D16</f>
        <v>17359037</v>
      </c>
      <c r="E40" s="37">
        <f t="shared" si="23"/>
        <v>508687221.57670397</v>
      </c>
      <c r="F40" s="37">
        <f t="shared" si="23"/>
        <v>17359037</v>
      </c>
      <c r="G40" s="37">
        <f t="shared" si="23"/>
        <v>508687221.57670397</v>
      </c>
      <c r="H40" s="37">
        <f t="shared" si="23"/>
        <v>477430859.53000003</v>
      </c>
      <c r="I40" s="31">
        <f t="shared" ref="I40:I48" si="24">H40/G40</f>
        <v>0.9385548511522992</v>
      </c>
      <c r="J40" s="37">
        <f t="shared" si="23"/>
        <v>444314065.53000003</v>
      </c>
      <c r="K40" s="31">
        <f t="shared" ref="K40:K48" si="25">J40/G40</f>
        <v>0.8734523822965794</v>
      </c>
      <c r="L40" s="37">
        <f t="shared" si="23"/>
        <v>220194753.07000002</v>
      </c>
      <c r="M40" s="31">
        <f t="shared" ref="M40:M48" si="26">L40/G40</f>
        <v>0.43286865431275096</v>
      </c>
    </row>
    <row r="41" spans="2:13">
      <c r="B41" s="10" t="s">
        <v>156</v>
      </c>
      <c r="C41" s="37">
        <f>C5+C28</f>
        <v>180080444.73071998</v>
      </c>
      <c r="D41" s="37">
        <f t="shared" ref="D41:L41" si="27">D5+D28</f>
        <v>2971072</v>
      </c>
      <c r="E41" s="37">
        <f t="shared" si="27"/>
        <v>180080444.73071998</v>
      </c>
      <c r="F41" s="37">
        <f t="shared" si="27"/>
        <v>2971072</v>
      </c>
      <c r="G41" s="37">
        <f t="shared" si="27"/>
        <v>180080444.73071995</v>
      </c>
      <c r="H41" s="37">
        <f t="shared" si="27"/>
        <v>175485265.40000001</v>
      </c>
      <c r="I41" s="31">
        <f t="shared" si="24"/>
        <v>0.97448263004019531</v>
      </c>
      <c r="J41" s="37">
        <f t="shared" si="27"/>
        <v>175287844.66</v>
      </c>
      <c r="K41" s="31">
        <f t="shared" si="25"/>
        <v>0.97338633810080555</v>
      </c>
      <c r="L41" s="37">
        <f t="shared" si="27"/>
        <v>124349095.66999999</v>
      </c>
      <c r="M41" s="31">
        <f t="shared" si="26"/>
        <v>0.69051970554572517</v>
      </c>
    </row>
    <row r="42" spans="2:13">
      <c r="B42" s="10" t="s">
        <v>155</v>
      </c>
      <c r="C42" s="37">
        <f>C6+C13+C33</f>
        <v>509721837.346488</v>
      </c>
      <c r="D42" s="37">
        <f t="shared" ref="D42:L42" si="28">D6+D13+D33</f>
        <v>585282093</v>
      </c>
      <c r="E42" s="37">
        <f t="shared" si="28"/>
        <v>524861448.23448801</v>
      </c>
      <c r="F42" s="37">
        <f t="shared" si="28"/>
        <v>30400368</v>
      </c>
      <c r="G42" s="37">
        <f t="shared" si="28"/>
        <v>524861448.04344004</v>
      </c>
      <c r="H42" s="37">
        <f t="shared" si="28"/>
        <v>424920990.70999998</v>
      </c>
      <c r="I42" s="31">
        <f t="shared" si="24"/>
        <v>0.80958697251247058</v>
      </c>
      <c r="J42" s="37">
        <f t="shared" si="28"/>
        <v>421175351.39000005</v>
      </c>
      <c r="K42" s="31">
        <f t="shared" si="25"/>
        <v>0.80245053806112576</v>
      </c>
      <c r="L42" s="37">
        <f t="shared" si="28"/>
        <v>240873769.51999998</v>
      </c>
      <c r="M42" s="31">
        <f t="shared" si="26"/>
        <v>0.45892829511087296</v>
      </c>
    </row>
    <row r="43" spans="2:13">
      <c r="B43" s="10" t="s">
        <v>159</v>
      </c>
      <c r="C43" s="37">
        <f>C7</f>
        <v>8279706.1583080003</v>
      </c>
      <c r="D43" s="37">
        <f t="shared" ref="D43:L43" si="29">D7</f>
        <v>0</v>
      </c>
      <c r="E43" s="37">
        <f t="shared" si="29"/>
        <v>8279706.1583080003</v>
      </c>
      <c r="F43" s="37">
        <f t="shared" si="29"/>
        <v>0</v>
      </c>
      <c r="G43" s="37">
        <f t="shared" si="29"/>
        <v>8279706.1583080003</v>
      </c>
      <c r="H43" s="37">
        <f t="shared" si="29"/>
        <v>7456720.1300000008</v>
      </c>
      <c r="I43" s="31">
        <f t="shared" si="24"/>
        <v>0.9006020246887384</v>
      </c>
      <c r="J43" s="37">
        <f t="shared" si="29"/>
        <v>6848409.8399999999</v>
      </c>
      <c r="K43" s="31">
        <f t="shared" si="25"/>
        <v>0.82713199104634738</v>
      </c>
      <c r="L43" s="37">
        <f t="shared" si="29"/>
        <v>3577926.6600000006</v>
      </c>
      <c r="M43" s="31">
        <f t="shared" si="26"/>
        <v>0.4321320819350391</v>
      </c>
    </row>
    <row r="44" spans="2:13">
      <c r="B44" s="10" t="s">
        <v>160</v>
      </c>
      <c r="C44" s="37">
        <f>C8+C26</f>
        <v>154236973.32562798</v>
      </c>
      <c r="D44" s="37">
        <f t="shared" ref="D44:L44" si="30">D8+D26</f>
        <v>0</v>
      </c>
      <c r="E44" s="37">
        <f t="shared" si="30"/>
        <v>154236973.32562798</v>
      </c>
      <c r="F44" s="37">
        <f t="shared" si="30"/>
        <v>0</v>
      </c>
      <c r="G44" s="37">
        <f t="shared" si="30"/>
        <v>154236973.32562798</v>
      </c>
      <c r="H44" s="37">
        <f t="shared" si="30"/>
        <v>152787858.84999999</v>
      </c>
      <c r="I44" s="31">
        <f t="shared" si="24"/>
        <v>0.99060462323408938</v>
      </c>
      <c r="J44" s="37">
        <f t="shared" si="30"/>
        <v>152783693.84999999</v>
      </c>
      <c r="K44" s="31">
        <f t="shared" si="25"/>
        <v>0.99057761933281852</v>
      </c>
      <c r="L44" s="37">
        <f t="shared" si="30"/>
        <v>74378240.36999999</v>
      </c>
      <c r="M44" s="31">
        <f t="shared" si="26"/>
        <v>0.48223353172894062</v>
      </c>
    </row>
    <row r="45" spans="2:13">
      <c r="B45" s="10" t="s">
        <v>157</v>
      </c>
      <c r="C45" s="37">
        <f>C9+C19+C34</f>
        <v>82640890.066179991</v>
      </c>
      <c r="D45" s="37">
        <f t="shared" ref="D45:L45" si="31">D9+D19+D34</f>
        <v>69810045</v>
      </c>
      <c r="E45" s="37">
        <f t="shared" si="31"/>
        <v>80846003.163203999</v>
      </c>
      <c r="F45" s="37">
        <f t="shared" si="31"/>
        <v>69810045</v>
      </c>
      <c r="G45" s="37">
        <f t="shared" si="31"/>
        <v>80846003.200727999</v>
      </c>
      <c r="H45" s="37">
        <f t="shared" si="31"/>
        <v>73694691.320000008</v>
      </c>
      <c r="I45" s="31">
        <f t="shared" si="24"/>
        <v>0.91154402694500059</v>
      </c>
      <c r="J45" s="37">
        <f t="shared" si="31"/>
        <v>73694691.320000008</v>
      </c>
      <c r="K45" s="31">
        <f t="shared" si="25"/>
        <v>0.91154402694500059</v>
      </c>
      <c r="L45" s="37">
        <f t="shared" si="31"/>
        <v>29128661.43</v>
      </c>
      <c r="M45" s="31">
        <f t="shared" si="26"/>
        <v>0.36029810104128562</v>
      </c>
    </row>
    <row r="46" spans="2:13">
      <c r="B46" s="10" t="s">
        <v>188</v>
      </c>
      <c r="C46" s="37">
        <f>C10+C24+C23+C31</f>
        <v>862907376.70203602</v>
      </c>
      <c r="D46" s="37">
        <f t="shared" ref="D46:H46" si="32">D10+D24+D23+D31</f>
        <v>910615544</v>
      </c>
      <c r="E46" s="37">
        <f t="shared" si="32"/>
        <v>862907376.70203602</v>
      </c>
      <c r="F46" s="37">
        <f t="shared" si="32"/>
        <v>910615544</v>
      </c>
      <c r="G46" s="37">
        <f t="shared" si="32"/>
        <v>862907376.70203602</v>
      </c>
      <c r="H46" s="37">
        <f t="shared" si="32"/>
        <v>679250867.94000006</v>
      </c>
      <c r="I46" s="31">
        <f t="shared" si="24"/>
        <v>0.78716544356828111</v>
      </c>
      <c r="J46" s="37">
        <f>J10+J24+J23+J31</f>
        <v>672975153.07999992</v>
      </c>
      <c r="K46" s="31">
        <f t="shared" si="25"/>
        <v>0.77989268750031771</v>
      </c>
      <c r="L46" s="37">
        <f>L10+L24+L23+L31</f>
        <v>458029329.48000008</v>
      </c>
      <c r="M46" s="31">
        <f t="shared" si="26"/>
        <v>0.530797791103087</v>
      </c>
    </row>
    <row r="47" spans="2:13">
      <c r="B47" s="10" t="s">
        <v>170</v>
      </c>
      <c r="C47" s="37">
        <f>C27</f>
        <v>25335213.425843999</v>
      </c>
      <c r="D47" s="37">
        <f t="shared" ref="D47:L47" si="33">D27</f>
        <v>0</v>
      </c>
      <c r="E47" s="37">
        <f t="shared" si="33"/>
        <v>25335213.425843999</v>
      </c>
      <c r="F47" s="37">
        <f t="shared" si="33"/>
        <v>0</v>
      </c>
      <c r="G47" s="37">
        <f t="shared" si="33"/>
        <v>25335213.425843999</v>
      </c>
      <c r="H47" s="37">
        <f t="shared" si="33"/>
        <v>24012558.949999996</v>
      </c>
      <c r="I47" s="31">
        <f t="shared" si="24"/>
        <v>0.94779382933893952</v>
      </c>
      <c r="J47" s="37">
        <f t="shared" si="33"/>
        <v>24012558.949999996</v>
      </c>
      <c r="K47" s="31">
        <f t="shared" si="25"/>
        <v>0.94779382933893952</v>
      </c>
      <c r="L47" s="37">
        <f t="shared" si="33"/>
        <v>6406758.2699999996</v>
      </c>
      <c r="M47" s="31">
        <f t="shared" si="26"/>
        <v>0.25287958551257278</v>
      </c>
    </row>
    <row r="48" spans="2:13">
      <c r="B48" s="10" t="s">
        <v>168</v>
      </c>
      <c r="C48" s="37">
        <f>C22+C32</f>
        <v>838782329.56852794</v>
      </c>
      <c r="D48" s="37">
        <f t="shared" ref="D48:G48" si="34">D22+D32</f>
        <v>864250943</v>
      </c>
      <c r="E48" s="37">
        <f t="shared" si="34"/>
        <v>838782329.56852794</v>
      </c>
      <c r="F48" s="37">
        <f t="shared" si="34"/>
        <v>864250943</v>
      </c>
      <c r="G48" s="37">
        <f t="shared" si="34"/>
        <v>838782329.56852794</v>
      </c>
      <c r="H48" s="37">
        <f>H22+H32</f>
        <v>784668849.18000007</v>
      </c>
      <c r="I48" s="31">
        <f t="shared" si="24"/>
        <v>0.93548566954627665</v>
      </c>
      <c r="J48" s="37">
        <f>J22+J32</f>
        <v>780359295.18000007</v>
      </c>
      <c r="K48" s="31">
        <f t="shared" si="25"/>
        <v>0.93034780022299601</v>
      </c>
      <c r="L48" s="37">
        <f>L22+L32</f>
        <v>291097940.92000002</v>
      </c>
      <c r="M48" s="31">
        <f t="shared" si="26"/>
        <v>0.34704825156455266</v>
      </c>
    </row>
  </sheetData>
  <pageMargins left="0.7" right="0.7" top="0.75" bottom="0.75" header="0.3" footer="0.3"/>
  <pageSetup paperSize="9" scale="4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5"/>
  <sheetViews>
    <sheetView workbookViewId="0">
      <selection activeCell="H21" sqref="H21"/>
    </sheetView>
  </sheetViews>
  <sheetFormatPr defaultRowHeight="15"/>
  <cols>
    <col min="3" max="3" width="27.85546875" customWidth="1"/>
    <col min="4" max="4" width="23" customWidth="1"/>
    <col min="9" max="9" width="29.140625" customWidth="1"/>
    <col min="10" max="10" width="29.42578125" customWidth="1"/>
  </cols>
  <sheetData>
    <row r="3" spans="2:10" ht="31.5">
      <c r="B3" s="660"/>
      <c r="C3" s="661"/>
      <c r="D3" s="658" t="s">
        <v>894</v>
      </c>
      <c r="I3" s="535"/>
      <c r="J3" s="658" t="s">
        <v>894</v>
      </c>
    </row>
    <row r="4" spans="2:10" s="495" customFormat="1" ht="15.75">
      <c r="B4" s="657"/>
      <c r="C4" s="658" t="s">
        <v>895</v>
      </c>
      <c r="D4" s="659">
        <f>D5+D12+D17</f>
        <v>275124272.97090602</v>
      </c>
      <c r="I4" s="658" t="s">
        <v>896</v>
      </c>
      <c r="J4" s="664">
        <f>SUM(J5:J11)</f>
        <v>284366287.97090602</v>
      </c>
    </row>
    <row r="5" spans="2:10" ht="15.75">
      <c r="B5" s="653" t="s">
        <v>871</v>
      </c>
      <c r="C5" s="654" t="s">
        <v>872</v>
      </c>
      <c r="D5" s="659">
        <f>SUM(D6:D11)</f>
        <v>52749579.970905997</v>
      </c>
      <c r="I5" s="663" t="s">
        <v>737</v>
      </c>
      <c r="J5" s="37">
        <f>cet.plāni!E24</f>
        <v>56835208</v>
      </c>
    </row>
    <row r="6" spans="2:10" ht="15.75">
      <c r="B6" s="655" t="s">
        <v>2</v>
      </c>
      <c r="C6" s="656" t="s">
        <v>873</v>
      </c>
      <c r="D6" s="662">
        <f>cet.plāni!E31</f>
        <v>10753420.557135999</v>
      </c>
      <c r="I6" s="663" t="s">
        <v>734</v>
      </c>
      <c r="J6" s="37">
        <f>cet.plāni!E30</f>
        <v>36037209.557135999</v>
      </c>
    </row>
    <row r="7" spans="2:10" ht="15.75">
      <c r="B7" s="655" t="s">
        <v>12</v>
      </c>
      <c r="C7" s="656" t="s">
        <v>874</v>
      </c>
      <c r="D7" s="662">
        <f>cet.plāni!E32+cet.plāni!E33+cet.plāni!E34+cet.plāni!E41</f>
        <v>8262193</v>
      </c>
      <c r="I7" s="663" t="s">
        <v>740</v>
      </c>
      <c r="J7" s="37">
        <f>cet.plāni!E37</f>
        <v>12000000</v>
      </c>
    </row>
    <row r="8" spans="2:10" ht="31.5">
      <c r="B8" s="655" t="s">
        <v>875</v>
      </c>
      <c r="C8" s="656" t="s">
        <v>876</v>
      </c>
      <c r="D8" s="662">
        <f>cet.plāni!E25+cet.plāni!E26+cet.plāni!E42+cet.plāni!E43+cet.plāni!E53</f>
        <v>30408306.81377</v>
      </c>
      <c r="I8" s="663" t="s">
        <v>738</v>
      </c>
      <c r="J8" s="37">
        <f>cet.plāni!E40</f>
        <v>32591616.413770001</v>
      </c>
    </row>
    <row r="9" spans="2:10" ht="31.5">
      <c r="B9" s="655" t="s">
        <v>41</v>
      </c>
      <c r="C9" s="656" t="s">
        <v>877</v>
      </c>
      <c r="D9" s="662">
        <f>cet.plāni!E44+cet.plāni!E45</f>
        <v>3325659.6</v>
      </c>
      <c r="I9" s="663" t="s">
        <v>736</v>
      </c>
      <c r="J9" s="37">
        <f>cet.plāni!E47</f>
        <v>52382961</v>
      </c>
    </row>
    <row r="10" spans="2:10" ht="31.5">
      <c r="B10" s="655" t="s">
        <v>46</v>
      </c>
      <c r="C10" s="656" t="s">
        <v>878</v>
      </c>
      <c r="D10" s="660">
        <v>0</v>
      </c>
      <c r="I10" s="663" t="s">
        <v>739</v>
      </c>
      <c r="J10" s="37">
        <f>cet.plāni!E52</f>
        <v>11800000</v>
      </c>
    </row>
    <row r="11" spans="2:10" ht="30">
      <c r="B11" s="655" t="s">
        <v>295</v>
      </c>
      <c r="C11" s="656" t="s">
        <v>879</v>
      </c>
      <c r="D11" s="660">
        <v>0</v>
      </c>
      <c r="I11" s="663" t="s">
        <v>735</v>
      </c>
      <c r="J11" s="37">
        <f>cet.plāni!E55</f>
        <v>82719293</v>
      </c>
    </row>
    <row r="12" spans="2:10" ht="15.75">
      <c r="B12" s="653" t="s">
        <v>880</v>
      </c>
      <c r="C12" s="654" t="s">
        <v>881</v>
      </c>
      <c r="D12" s="659">
        <f>SUM(D13:D16)</f>
        <v>46814550</v>
      </c>
    </row>
    <row r="13" spans="2:10" ht="15.75">
      <c r="B13" s="655" t="s">
        <v>182</v>
      </c>
      <c r="C13" s="656" t="s">
        <v>882</v>
      </c>
      <c r="D13" s="662">
        <f>cet.plāni!E27+cet.plāni!E35</f>
        <v>40814550</v>
      </c>
    </row>
    <row r="14" spans="2:10" ht="15.75">
      <c r="B14" s="655" t="s">
        <v>66</v>
      </c>
      <c r="C14" s="656" t="s">
        <v>883</v>
      </c>
      <c r="D14" s="660">
        <v>0</v>
      </c>
    </row>
    <row r="15" spans="2:10" ht="15.75">
      <c r="B15" s="655" t="s">
        <v>72</v>
      </c>
      <c r="C15" s="656" t="s">
        <v>884</v>
      </c>
      <c r="D15" s="662">
        <f>cet.plāni!E28</f>
        <v>6000000</v>
      </c>
    </row>
    <row r="16" spans="2:10" ht="15.75">
      <c r="B16" s="655" t="s">
        <v>301</v>
      </c>
      <c r="C16" s="656" t="s">
        <v>879</v>
      </c>
      <c r="D16" s="660">
        <v>0</v>
      </c>
    </row>
    <row r="17" spans="2:4" ht="15.75">
      <c r="B17" s="653" t="s">
        <v>79</v>
      </c>
      <c r="C17" s="654" t="s">
        <v>885</v>
      </c>
      <c r="D17" s="659">
        <f>SUM(D18:D25)</f>
        <v>175560143</v>
      </c>
    </row>
    <row r="18" spans="2:4" ht="31.5">
      <c r="B18" s="655" t="s">
        <v>80</v>
      </c>
      <c r="C18" s="656" t="s">
        <v>886</v>
      </c>
      <c r="D18" s="662">
        <f>cet.plāni!E36+cet.plāni!E46+cet.plāni!E54+cet.plāni!E56</f>
        <v>38871547</v>
      </c>
    </row>
    <row r="19" spans="2:4" ht="31.5">
      <c r="B19" s="655" t="s">
        <v>98</v>
      </c>
      <c r="C19" s="656" t="s">
        <v>887</v>
      </c>
      <c r="D19" s="662">
        <f>cet.plāni!E48+cet.plāni!E49+cet.plāni!E57</f>
        <v>30966017</v>
      </c>
    </row>
    <row r="20" spans="2:4" ht="47.25">
      <c r="B20" s="655" t="s">
        <v>109</v>
      </c>
      <c r="C20" s="656" t="s">
        <v>888</v>
      </c>
      <c r="D20" s="662">
        <f>cet.plāni!E50+cet.plāni!E51</f>
        <v>31087535</v>
      </c>
    </row>
    <row r="21" spans="2:4" ht="47.25">
      <c r="B21" s="655" t="s">
        <v>115</v>
      </c>
      <c r="C21" s="656" t="s">
        <v>889</v>
      </c>
      <c r="D21" s="662">
        <f>cet.plāni!E29+cet.plāni!E38+cet.plāni!E39</f>
        <v>20000000</v>
      </c>
    </row>
    <row r="22" spans="2:4" ht="47.25">
      <c r="B22" s="655" t="s">
        <v>129</v>
      </c>
      <c r="C22" s="656" t="s">
        <v>890</v>
      </c>
      <c r="D22" s="662">
        <f>cet.plāni!E62+cet.plāni!E63+cet.plāni!E64</f>
        <v>3847481</v>
      </c>
    </row>
    <row r="23" spans="2:4" ht="15.75">
      <c r="B23" s="655" t="s">
        <v>135</v>
      </c>
      <c r="C23" s="656" t="s">
        <v>891</v>
      </c>
      <c r="D23" s="662">
        <f>cet.plāni!E58+cet.plāni!E59</f>
        <v>50787563</v>
      </c>
    </row>
    <row r="24" spans="2:4" ht="31.5">
      <c r="B24" s="655" t="s">
        <v>312</v>
      </c>
      <c r="C24" s="656" t="s">
        <v>892</v>
      </c>
      <c r="D24" s="660">
        <v>0</v>
      </c>
    </row>
    <row r="25" spans="2:4" ht="31.5">
      <c r="B25" s="655" t="s">
        <v>314</v>
      </c>
      <c r="C25" s="656" t="s">
        <v>893</v>
      </c>
      <c r="D25" s="660">
        <v>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pielikums Nr.1</vt:lpstr>
      <vt:lpstr>cet.plāni</vt:lpstr>
      <vt:lpstr>maksajumu_merku_neizpilde</vt:lpstr>
      <vt:lpstr>Grafiks</vt:lpstr>
      <vt:lpstr>Salīdzinājums</vt:lpstr>
      <vt:lpstr>Apguve dalījumā pa ministr</vt:lpstr>
      <vt:lpstr>Sheet1</vt:lpstr>
      <vt:lpstr>cet.plāni!Print_Area</vt:lpstr>
      <vt:lpstr>maksajumu_merku_neizpilde!Print_Area</vt:lpstr>
      <vt:lpstr>'pielikums Nr.1'!Print_Area</vt:lpstr>
      <vt:lpstr>cet.plāni!Print_Titles</vt:lpstr>
      <vt:lpstr>'pielikums Nr.1'!Print_Titles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Virssaistību iespējas 2007.-2013.gada plānošanas perioda ES fondu projektos dalījumā pa ceturkšņiem un gadiem (LVL), kumulatīvi gada ietvaros</dc:title>
  <dc:subject>Virssaistību iespējas 2007.-2013.gada plānošanas perioda ES fondu projektos dalījumā pa ceturkšņiem un gadiem (LVL), kumulatīvi gada ietvaros</dc:subject>
  <dc:creator>Artūrs Šluburs</dc:creator>
  <dc:description>Artūrs Šluburs
Eiropas Savienības fondu uzraudzības departamenta
Uzņēmējdarbības un inovāciju nodaļas vecākais eksperts
Tālr. 67083964, fakss 67095697
Arturs.Sluburs@fm.gov.lv</dc:description>
  <cp:lastModifiedBy>Artūrs Šluburs</cp:lastModifiedBy>
  <cp:lastPrinted>2013-11-14T15:10:42Z</cp:lastPrinted>
  <dcterms:created xsi:type="dcterms:W3CDTF">2009-08-06T12:09:10Z</dcterms:created>
  <dcterms:modified xsi:type="dcterms:W3CDTF">2013-11-22T14:36:41Z</dcterms:modified>
</cp:coreProperties>
</file>